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70D0BBB2-2F90-494A-8AF8-749131297562}" xr6:coauthVersionLast="47" xr6:coauthVersionMax="47" xr10:uidLastSave="{00000000-0000-0000-0000-000000000000}"/>
  <bookViews>
    <workbookView xWindow="28680" yWindow="-120" windowWidth="29040" windowHeight="15720" xr2:uid="{ABCD4981-C01B-4B1F-9495-BB9C21AF22DD}"/>
  </bookViews>
  <sheets>
    <sheet name="Forest FES-rekenschema" sheetId="1" r:id="rId1"/>
  </sheets>
  <definedNames>
    <definedName name="AFBEELDING">OFFSET('Forest FES-rekenschema'!$EK$600,IF('Forest FES-rekenschema'!$H$111=1,1,'Forest FES-rekenschema'!$G$56),IF('Forest FES-rekenschema'!$H$111=1,4,IF('Forest FES-rekenschema'!$E$21='Forest FES-rekenschema'!$BA$124,6,0)+IF('Forest FES-rekenschema'!$E$19='Forest FES-rekenschema'!$BA$116,2,0)),1,1)</definedName>
    <definedName name="_xlnm.Print_Area" localSheetId="0">'Forest FES-rekenschema'!$A$1:$AI$43</definedName>
    <definedName name="Foto_band">IF('Forest FES-rekenschema'!$H$111+'Forest FES-rekenschema'!$I$111&gt;=1,'Forest FES-rekenschema'!$EJ$598,IF('Forest FES-rekenschema'!$E$15='Forest FES-rekenschema'!$BA$120,'Forest FES-rekenschema'!$EJ$596,'Forest FES-rekenschema'!$EJ$597))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S143" i="1" l="1"/>
  <c r="ES144" i="1"/>
  <c r="ES145" i="1"/>
  <c r="ES146" i="1"/>
  <c r="ES147" i="1"/>
  <c r="ES148" i="1"/>
  <c r="ES149" i="1"/>
  <c r="ES150" i="1"/>
  <c r="ES151" i="1"/>
  <c r="ES152" i="1"/>
  <c r="ES153" i="1"/>
  <c r="ES154" i="1"/>
  <c r="ES155" i="1"/>
  <c r="ES156" i="1"/>
  <c r="ES157" i="1"/>
  <c r="ES158" i="1"/>
  <c r="ES159" i="1"/>
  <c r="ES160" i="1"/>
  <c r="ES161" i="1"/>
  <c r="ES162" i="1"/>
  <c r="ES178" i="1" l="1"/>
  <c r="ES177" i="1"/>
  <c r="ES176" i="1"/>
  <c r="ES175" i="1"/>
  <c r="ES174" i="1"/>
  <c r="ES173" i="1"/>
  <c r="ES172" i="1"/>
  <c r="ES171" i="1"/>
  <c r="ES170" i="1"/>
  <c r="ES169" i="1"/>
  <c r="ES168" i="1"/>
  <c r="ES167" i="1"/>
  <c r="ES166" i="1"/>
  <c r="ES165" i="1"/>
  <c r="ES164" i="1"/>
  <c r="ES163" i="1"/>
  <c r="EY159" i="1"/>
  <c r="EX159" i="1"/>
  <c r="EY157" i="1"/>
  <c r="EX157" i="1"/>
  <c r="EY156" i="1"/>
  <c r="EX156" i="1"/>
  <c r="BX63" i="1" l="1"/>
  <c r="CH85" i="1" s="1"/>
  <c r="CN81" i="1"/>
  <c r="CL81" i="1"/>
  <c r="BX77" i="1"/>
  <c r="BZ55" i="1"/>
  <c r="BZ54" i="1"/>
  <c r="BZ53" i="1"/>
  <c r="BZ52" i="1"/>
  <c r="BZ51" i="1"/>
  <c r="BZ50" i="1"/>
  <c r="BZ49" i="1"/>
  <c r="BZ48" i="1"/>
  <c r="BZ47" i="1"/>
  <c r="BA114" i="1"/>
  <c r="AT111" i="1"/>
  <c r="K139" i="1"/>
  <c r="K111" i="1" s="1"/>
  <c r="AL113" i="1"/>
  <c r="AC120" i="1"/>
  <c r="ES142" i="1" l="1"/>
  <c r="AL112" i="1" l="1"/>
  <c r="ES140" i="1"/>
  <c r="BA113" i="1"/>
  <c r="BA112" i="1"/>
  <c r="E1" i="1"/>
  <c r="ES141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3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ES66" i="1"/>
  <c r="EX65" i="1"/>
  <c r="H138" i="1"/>
  <c r="BX58" i="1" l="1"/>
  <c r="Y120" i="1"/>
  <c r="P137" i="1"/>
  <c r="H137" i="1" s="1"/>
  <c r="AL114" i="1"/>
  <c r="AL115" i="1" s="1"/>
  <c r="CJ80" i="1" l="1"/>
  <c r="CH80" i="1"/>
  <c r="CJ63" i="1"/>
  <c r="CH63" i="1"/>
  <c r="H123" i="1"/>
  <c r="H124" i="1"/>
  <c r="J127" i="1"/>
  <c r="H117" i="1"/>
  <c r="EY65" i="1"/>
  <c r="EZ65" i="1"/>
  <c r="FA65" i="1"/>
  <c r="H114" i="1"/>
  <c r="EW65" i="1" l="1"/>
  <c r="Y112" i="1"/>
  <c r="EW66" i="1" l="1" a="1"/>
  <c r="A58" i="1" s="1"/>
  <c r="L17" i="1"/>
  <c r="J126" i="1"/>
  <c r="J125" i="1"/>
  <c r="I120" i="1"/>
  <c r="I111" i="1" s="1"/>
  <c r="AA113" i="1"/>
  <c r="H121" i="1"/>
  <c r="H122" i="1"/>
  <c r="H113" i="1"/>
  <c r="H112" i="1"/>
  <c r="G59" i="1"/>
  <c r="G60" i="1" s="1"/>
  <c r="G61" i="1" s="1"/>
  <c r="G62" i="1" s="1"/>
  <c r="G63" i="1" s="1"/>
  <c r="G64" i="1" s="1"/>
  <c r="G65" i="1" s="1"/>
  <c r="G66" i="1" s="1"/>
  <c r="AC113" i="1"/>
  <c r="AC114" i="1"/>
  <c r="AC115" i="1"/>
  <c r="AC116" i="1"/>
  <c r="AC117" i="1"/>
  <c r="AC118" i="1"/>
  <c r="AC119" i="1"/>
  <c r="AC121" i="1"/>
  <c r="AC122" i="1"/>
  <c r="AC123" i="1"/>
  <c r="AC124" i="1"/>
  <c r="AC125" i="1"/>
  <c r="AC126" i="1"/>
  <c r="AC127" i="1"/>
  <c r="AC112" i="1"/>
  <c r="AA114" i="1"/>
  <c r="L13" i="1" l="1"/>
  <c r="EW66" i="1"/>
  <c r="P136" i="1" s="1"/>
  <c r="BI108" i="1" a="1"/>
  <c r="BI108" i="1" s="1"/>
  <c r="J13" i="1"/>
  <c r="AB128" i="1"/>
  <c r="A18" i="1"/>
  <c r="A28" i="1"/>
  <c r="A1" i="1"/>
  <c r="A13" i="1"/>
  <c r="G67" i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H116" i="1"/>
  <c r="J17" i="1" s="1"/>
  <c r="Y116" i="1"/>
  <c r="AA118" i="1"/>
  <c r="Z125" i="1"/>
  <c r="Z119" i="1"/>
  <c r="Z113" i="1"/>
  <c r="AA124" i="1"/>
  <c r="Y127" i="1"/>
  <c r="Y115" i="1"/>
  <c r="Z124" i="1"/>
  <c r="Z118" i="1"/>
  <c r="AA123" i="1"/>
  <c r="Y117" i="1"/>
  <c r="Z123" i="1"/>
  <c r="Y124" i="1"/>
  <c r="Z112" i="1"/>
  <c r="AA122" i="1"/>
  <c r="AA116" i="1"/>
  <c r="Y123" i="1"/>
  <c r="AA112" i="1"/>
  <c r="Z122" i="1"/>
  <c r="Z116" i="1"/>
  <c r="Y126" i="1"/>
  <c r="AA117" i="1"/>
  <c r="Z117" i="1"/>
  <c r="Y122" i="1"/>
  <c r="AA121" i="1"/>
  <c r="AA115" i="1"/>
  <c r="Y113" i="1"/>
  <c r="Y121" i="1"/>
  <c r="Z121" i="1"/>
  <c r="Z115" i="1"/>
  <c r="Y114" i="1"/>
  <c r="Y125" i="1"/>
  <c r="AA127" i="1"/>
  <c r="Z127" i="1"/>
  <c r="AA126" i="1"/>
  <c r="AA120" i="1"/>
  <c r="Y119" i="1"/>
  <c r="Z126" i="1"/>
  <c r="Z120" i="1"/>
  <c r="Z114" i="1"/>
  <c r="Y118" i="1"/>
  <c r="AA125" i="1"/>
  <c r="AA119" i="1"/>
  <c r="P134" i="1" l="1"/>
  <c r="H134" i="1" s="1"/>
  <c r="P135" i="1"/>
  <c r="AF18" i="1" l="1"/>
  <c r="AF17" i="1"/>
  <c r="BA116" i="1" l="1"/>
  <c r="CJ81" i="1" l="1"/>
  <c r="CH81" i="1"/>
  <c r="CN65" i="1"/>
  <c r="CL65" i="1"/>
  <c r="AV114" i="1"/>
  <c r="A20" i="1"/>
  <c r="A66" i="1"/>
  <c r="H66" i="1" s="1"/>
  <c r="A11" i="1"/>
  <c r="A71" i="1"/>
  <c r="H71" i="1" s="1"/>
  <c r="H58" i="1"/>
  <c r="A73" i="1"/>
  <c r="H73" i="1" s="1"/>
  <c r="AV116" i="1"/>
  <c r="AV115" i="1"/>
  <c r="A65" i="1"/>
  <c r="H65" i="1" s="1"/>
  <c r="BA123" i="1"/>
  <c r="A19" i="1"/>
  <c r="A16" i="1"/>
  <c r="A78" i="1"/>
  <c r="H78" i="1" s="1"/>
  <c r="A64" i="1"/>
  <c r="H64" i="1" s="1"/>
  <c r="A40" i="1"/>
  <c r="A42" i="1"/>
  <c r="A75" i="1"/>
  <c r="A61" i="1"/>
  <c r="H61" i="1" s="1"/>
  <c r="BA124" i="1"/>
  <c r="BA115" i="1"/>
  <c r="A76" i="1"/>
  <c r="H76" i="1" s="1"/>
  <c r="A70" i="1"/>
  <c r="H70" i="1" s="1"/>
  <c r="A74" i="1"/>
  <c r="H74" i="1" s="1"/>
  <c r="A60" i="1"/>
  <c r="H60" i="1" s="1"/>
  <c r="A27" i="1"/>
  <c r="AV117" i="1"/>
  <c r="A68" i="1"/>
  <c r="H68" i="1" s="1"/>
  <c r="A41" i="1"/>
  <c r="A79" i="1"/>
  <c r="H79" i="1" s="1"/>
  <c r="A67" i="1"/>
  <c r="H67" i="1" s="1"/>
  <c r="A17" i="1"/>
  <c r="A63" i="1"/>
  <c r="H63" i="1" s="1"/>
  <c r="A43" i="1"/>
  <c r="AV113" i="1"/>
  <c r="A72" i="1"/>
  <c r="H72" i="1" s="1"/>
  <c r="A77" i="1"/>
  <c r="H77" i="1" s="1"/>
  <c r="A39" i="1"/>
  <c r="AV112" i="1"/>
  <c r="A69" i="1"/>
  <c r="H69" i="1" s="1"/>
  <c r="A15" i="1"/>
  <c r="A59" i="1"/>
  <c r="H59" i="1" s="1"/>
  <c r="A62" i="1"/>
  <c r="H62" i="1" s="1"/>
  <c r="J129" i="1" l="1"/>
  <c r="A24" i="1"/>
  <c r="A23" i="1"/>
  <c r="H135" i="1"/>
  <c r="Y128" i="1"/>
  <c r="H119" i="1"/>
  <c r="H131" i="1"/>
  <c r="J130" i="1"/>
  <c r="H75" i="1"/>
  <c r="G56" i="1" l="1"/>
  <c r="J56" i="1" s="1" a="1"/>
  <c r="BX70" i="1" s="1"/>
  <c r="H115" i="1"/>
  <c r="J11" i="1"/>
  <c r="L11" i="1"/>
  <c r="J19" i="1"/>
  <c r="L19" i="1"/>
  <c r="J56" i="1" l="1"/>
  <c r="CE47" i="1"/>
  <c r="BX71" i="1"/>
  <c r="BX95" i="1"/>
  <c r="BX96" i="1"/>
  <c r="BX91" i="1"/>
  <c r="BX90" i="1"/>
  <c r="CH55" i="1"/>
  <c r="BX76" i="1"/>
  <c r="CH54" i="1"/>
  <c r="CH52" i="1"/>
  <c r="CH49" i="1"/>
  <c r="CH50" i="1"/>
  <c r="CH48" i="1"/>
  <c r="CH47" i="1"/>
  <c r="CH88" i="1"/>
  <c r="BX109" i="1"/>
  <c r="BX108" i="1"/>
  <c r="BX104" i="1"/>
  <c r="BX107" i="1"/>
  <c r="BX85" i="1"/>
  <c r="BX81" i="1"/>
  <c r="BX80" i="1"/>
  <c r="BX74" i="1"/>
  <c r="BX75" i="1"/>
  <c r="BX69" i="1"/>
  <c r="H133" i="1"/>
  <c r="H132" i="1"/>
  <c r="H136" i="1"/>
  <c r="H118" i="1"/>
  <c r="H111" i="1" s="1"/>
  <c r="A22" i="1"/>
  <c r="L15" i="1"/>
  <c r="J15" i="1"/>
  <c r="BX68" i="1" l="1"/>
  <c r="L23" i="1"/>
  <c r="J23" i="1" s="1"/>
  <c r="BX100" i="1"/>
  <c r="BX89" i="1"/>
  <c r="BX88" i="1" s="1"/>
  <c r="BX86" i="1"/>
  <c r="BX84" i="1" s="1"/>
  <c r="BX94" i="1"/>
  <c r="BX93" i="1" s="1"/>
  <c r="A21" i="1"/>
  <c r="BX99" i="1"/>
  <c r="BX98" i="1" s="1"/>
  <c r="CH51" i="1"/>
  <c r="BX82" i="1"/>
  <c r="BX79" i="1" s="1"/>
  <c r="BX103" i="1"/>
  <c r="BX102" i="1" s="1"/>
  <c r="CH86" i="1" s="1"/>
  <c r="CH53" i="1"/>
  <c r="A25" i="1"/>
  <c r="J128" i="1"/>
  <c r="BX106" i="1"/>
  <c r="CH87" i="1" s="1"/>
  <c r="BX73" i="1"/>
  <c r="J21" i="1"/>
  <c r="L21" i="1" s="1"/>
  <c r="A26" i="1"/>
  <c r="CH64" i="1" l="1"/>
  <c r="CH65" i="1" s="1"/>
  <c r="CJ64" i="1"/>
  <c r="CJ65" i="1" s="1"/>
  <c r="AA4" i="1"/>
  <c r="AA12" i="1" s="1"/>
  <c r="J111" i="1"/>
  <c r="CN66" i="1" s="1"/>
  <c r="W1" i="1" s="1"/>
  <c r="AE38" i="1"/>
  <c r="O38" i="1"/>
  <c r="W38" i="1"/>
  <c r="U38" i="1"/>
  <c r="AC38" i="1"/>
  <c r="M38" i="1"/>
  <c r="G110" i="1" l="1"/>
  <c r="AA8" i="1"/>
  <c r="CJ66" i="1" l="1"/>
  <c r="CJ67" i="1" s="1"/>
  <c r="CJ68" i="1" s="1"/>
  <c r="CJ69" i="1" s="1"/>
  <c r="CJ70" i="1" s="1"/>
  <c r="CJ71" i="1" s="1"/>
  <c r="Q26" i="1"/>
  <c r="O26" i="1"/>
  <c r="CH66" i="1"/>
  <c r="CH67" i="1" s="1"/>
  <c r="CH68" i="1" s="1"/>
  <c r="CH69" i="1" s="1"/>
  <c r="CH70" i="1" s="1"/>
  <c r="CH71" i="1" s="1"/>
  <c r="CJ72" i="1" l="1"/>
  <c r="CJ74" i="1"/>
  <c r="CJ77" i="1" s="1"/>
  <c r="CJ82" i="1" l="1"/>
  <c r="CH72" i="1"/>
  <c r="CH74" i="1" s="1"/>
  <c r="CH77" i="1" l="1"/>
  <c r="AD15" i="1" s="1"/>
  <c r="Q38" i="1"/>
  <c r="S38" i="1"/>
  <c r="CH89" i="1"/>
  <c r="CH90" i="1" s="1"/>
  <c r="CJ90" i="1" s="1"/>
  <c r="AA38" i="1"/>
  <c r="AD3" i="1"/>
  <c r="Y38" i="1"/>
  <c r="CH82" i="1" l="1"/>
  <c r="AD19" i="1" s="1"/>
  <c r="AF19" i="1" s="1"/>
  <c r="AD8" i="1"/>
  <c r="AD4" i="1"/>
  <c r="AD12" i="1"/>
  <c r="AA3" i="1"/>
  <c r="AD11" i="1"/>
  <c r="AF11" i="1" s="1"/>
  <c r="W4" i="1"/>
  <c r="AD7" i="1"/>
  <c r="W7" i="1"/>
  <c r="W3" i="1"/>
  <c r="W13" i="1"/>
  <c r="W11" i="1"/>
  <c r="W12" i="1"/>
  <c r="W8" i="1"/>
  <c r="AF15" i="1"/>
  <c r="AD24" i="1"/>
  <c r="AF24" i="1" s="1"/>
  <c r="AD16" i="1"/>
  <c r="W19" i="1"/>
  <c r="W15" i="1"/>
  <c r="W16" i="1"/>
  <c r="AD25" i="1"/>
  <c r="AF25" i="1" s="1"/>
  <c r="X25" i="1"/>
  <c r="W25" i="1" s="1"/>
  <c r="X24" i="1"/>
  <c r="W24" i="1" s="1"/>
  <c r="W23" i="1"/>
  <c r="AF12" i="1" l="1"/>
  <c r="AA11" i="1"/>
  <c r="AA7" i="1"/>
  <c r="AF16" i="1"/>
  <c r="AD20" i="1"/>
  <c r="AF20" i="1" s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<sst xmlns="http://schemas.openxmlformats.org/spreadsheetml/2006/main" count="548" uniqueCount="367">
  <si>
    <t>Easywave</t>
  </si>
  <si>
    <t>L</t>
  </si>
  <si>
    <t>MRS</t>
  </si>
  <si>
    <t xml:space="preserve"> </t>
  </si>
  <si>
    <t xml:space="preserve">Easywave      =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</si>
  <si>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</si>
  <si>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</si>
  <si>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</si>
  <si>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</si>
  <si>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</si>
  <si>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</si>
  <si>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</si>
  <si>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</si>
  <si>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</si>
  <si>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</si>
  <si>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 xml:space="preserve">   Easyflex &lt;&gt;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</si>
  <si>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</si>
  <si>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</si>
  <si>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</si>
  <si>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</si>
  <si>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</si>
  <si>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</si>
  <si>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</si>
  <si>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</si>
  <si>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</si>
  <si>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Carrier distance:</t>
  </si>
  <si>
    <t>Motor side</t>
  </si>
  <si>
    <t>Return side</t>
  </si>
  <si>
    <t>Left side</t>
  </si>
  <si>
    <t>Right side</t>
  </si>
  <si>
    <t>Motor / handbediend / koord</t>
  </si>
  <si>
    <t>Control side</t>
  </si>
  <si>
    <t>breedte glijder</t>
  </si>
  <si>
    <t>- Product tolerances are calculated in the final results.</t>
  </si>
  <si>
    <t>FMS Dual</t>
  </si>
  <si>
    <t>V</t>
  </si>
  <si>
    <t>KS</t>
  </si>
  <si>
    <t>DS</t>
  </si>
  <si>
    <t>Enkel</t>
  </si>
  <si>
    <t>Dubbel</t>
  </si>
  <si>
    <t>Extra haken retour</t>
  </si>
  <si>
    <t>B1</t>
  </si>
  <si>
    <t>B2</t>
  </si>
  <si>
    <t>C1</t>
  </si>
  <si>
    <t>C2</t>
  </si>
  <si>
    <t>C3</t>
  </si>
  <si>
    <t>C4</t>
  </si>
  <si>
    <t>D1</t>
  </si>
  <si>
    <t>D2</t>
  </si>
  <si>
    <t>E1</t>
  </si>
  <si>
    <t>E2</t>
  </si>
  <si>
    <t>E3</t>
  </si>
  <si>
    <t>E4</t>
  </si>
  <si>
    <t>F1</t>
  </si>
  <si>
    <t>F2</t>
  </si>
  <si>
    <t>G1</t>
  </si>
  <si>
    <t>G2</t>
  </si>
  <si>
    <t>K1</t>
  </si>
  <si>
    <t>L1</t>
  </si>
  <si>
    <t>L2</t>
  </si>
  <si>
    <t>W1</t>
  </si>
  <si>
    <t>W2</t>
  </si>
  <si>
    <t>X1</t>
  </si>
  <si>
    <t>X2</t>
  </si>
  <si>
    <t>AA</t>
  </si>
  <si>
    <t>FMS (Shuttle)</t>
  </si>
  <si>
    <t>FMS Plus</t>
  </si>
  <si>
    <t>CS</t>
  </si>
  <si>
    <t>DS-XL</t>
  </si>
  <si>
    <t>DS-XL LED</t>
  </si>
  <si>
    <t>J</t>
  </si>
  <si>
    <t>A</t>
  </si>
  <si>
    <t>B</t>
  </si>
  <si>
    <t>C</t>
  </si>
  <si>
    <t>D</t>
  </si>
  <si>
    <t>E</t>
  </si>
  <si>
    <t>F</t>
  </si>
  <si>
    <t>G</t>
  </si>
  <si>
    <t>W</t>
  </si>
  <si>
    <t>minder glijders</t>
  </si>
  <si>
    <t>X</t>
  </si>
  <si>
    <t>Start koord</t>
  </si>
  <si>
    <t>Staal</t>
  </si>
  <si>
    <t>Kunststof</t>
  </si>
  <si>
    <t>Even/Oneven motor</t>
  </si>
  <si>
    <t>Even/Oneven retour</t>
  </si>
  <si>
    <t>Zaagmaat motorpoelie / links</t>
  </si>
  <si>
    <t>Zaagmaat retourpoelie</t>
  </si>
  <si>
    <t>Minder glijders</t>
  </si>
  <si>
    <t>Lengte voorloper</t>
  </si>
  <si>
    <t>Extra lengte motorpoelie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</si>
  <si>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</si>
  <si>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</si>
  <si>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</si>
  <si>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</si>
  <si>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</si>
  <si>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</si>
  <si>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</si>
  <si>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</si>
  <si>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Rail type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</si>
  <si>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</si>
  <si>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</si>
  <si>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</si>
  <si>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</si>
  <si>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</si>
  <si>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</si>
  <si>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</si>
  <si>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</si>
  <si>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</si>
  <si>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</si>
  <si>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</si>
  <si>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</si>
  <si>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Rail lengte</t>
  </si>
  <si>
    <t>type glijder</t>
  </si>
  <si>
    <t>afstand glijder</t>
  </si>
  <si>
    <t>enkel / dubbel pakket</t>
  </si>
  <si>
    <t>overlap FMS Dual</t>
  </si>
  <si>
    <t>Afstand haken</t>
  </si>
  <si>
    <t>Raillengte heeft tekst</t>
  </si>
  <si>
    <t>Overlap heeft tekst</t>
  </si>
  <si>
    <t>Dual lengte te kort</t>
  </si>
  <si>
    <t>Dual lengte te lang</t>
  </si>
  <si>
    <t>FMS Dual enkel pakket</t>
  </si>
  <si>
    <t>BLANCO VELD</t>
  </si>
  <si>
    <t>Off-set Assymtrisch gordijn</t>
  </si>
  <si>
    <t>Off-set heeft tekst</t>
  </si>
  <si>
    <t>Off-set te kort</t>
  </si>
  <si>
    <t>Formule motor</t>
  </si>
  <si>
    <t>Formule retour</t>
  </si>
  <si>
    <t>Asymmetrie</t>
  </si>
  <si>
    <t>Off-set te lang</t>
  </si>
  <si>
    <t>Off-set geen motor</t>
  </si>
  <si>
    <t>Kunststof voorloper</t>
  </si>
  <si>
    <t>Staal &amp; Geen voorloper</t>
  </si>
  <si>
    <t>Minimale lengte:</t>
  </si>
  <si>
    <t>retourpoelie Eind loopvlak tot eind rail</t>
  </si>
  <si>
    <t>Easywave Roller</t>
  </si>
  <si>
    <t>Wel Roller glijder</t>
  </si>
  <si>
    <t>CRS 20</t>
  </si>
  <si>
    <t>CRS 28</t>
  </si>
  <si>
    <t>Off-set enkel pakket</t>
  </si>
  <si>
    <t>1 = Even</t>
  </si>
  <si>
    <t>0 = Oneven</t>
  </si>
  <si>
    <t>Extra haken motor</t>
  </si>
  <si>
    <t>Symmetrisch gordijn</t>
  </si>
  <si>
    <t>verkeerde glijder</t>
  </si>
  <si>
    <t xml:space="preserve">Track type      = 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</si>
  <si>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</si>
  <si>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</si>
  <si>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</si>
  <si>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</si>
  <si>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</si>
  <si>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</si>
  <si>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</si>
  <si>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 xml:space="preserve">Steel / Plastic   = </t>
  </si>
  <si>
    <t>Asymmetrical</t>
  </si>
  <si>
    <t>curtain in cm***=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</si>
  <si>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</si>
  <si>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</si>
  <si>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</si>
  <si>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</si>
  <si>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</si>
  <si>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</si>
  <si>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</si>
  <si>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</si>
  <si>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</si>
  <si>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</si>
  <si>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</si>
  <si>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</si>
  <si>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</si>
  <si>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</si>
  <si>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</si>
  <si>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</si>
  <si>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</si>
  <si>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</si>
  <si>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</si>
  <si>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</si>
  <si>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</si>
  <si>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</si>
  <si>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</si>
  <si>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</si>
  <si>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</si>
  <si>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</si>
  <si>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</si>
  <si>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</si>
  <si>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</si>
  <si>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</si>
  <si>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</si>
  <si>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</si>
  <si>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</si>
  <si>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</si>
  <si>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</si>
  <si>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</si>
  <si>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</si>
  <si>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Glijder afstand:</t>
  </si>
  <si>
    <t>Enkelpakket &lt;&gt;</t>
  </si>
  <si>
    <t>Type voorloper :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</si>
  <si>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</si>
  <si>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</si>
  <si>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</si>
  <si>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</si>
  <si>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</si>
  <si>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</si>
  <si>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</si>
  <si>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</si>
  <si>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</si>
  <si>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</si>
  <si>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</si>
  <si>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</si>
  <si>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</si>
  <si>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</si>
  <si>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</si>
  <si>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</si>
  <si>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</si>
  <si>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</si>
  <si>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</si>
  <si>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</si>
  <si>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</si>
  <si>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</si>
  <si>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</si>
  <si>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</si>
  <si>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</si>
  <si>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</si>
  <si>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</si>
  <si>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</si>
  <si>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</si>
  <si>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</si>
  <si>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</si>
  <si>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Railtype taal</t>
  </si>
  <si>
    <t>Pakket taal</t>
  </si>
  <si>
    <t>voorloper taal</t>
  </si>
  <si>
    <t>Test pakket</t>
  </si>
  <si>
    <t>Test voorloper</t>
  </si>
  <si>
    <t>W = Wel keuze voorloper</t>
  </si>
  <si>
    <t>Lengte te lang</t>
  </si>
  <si>
    <t>Maximale lengte:</t>
  </si>
  <si>
    <t>cm</t>
  </si>
  <si>
    <t xml:space="preserve">Type rail        = </t>
  </si>
  <si>
    <t xml:space="preserve">haken in cm*   = </t>
  </si>
  <si>
    <t xml:space="preserve">gordijn in cm***= </t>
  </si>
  <si>
    <t xml:space="preserve">Staal / kunststof  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</si>
  <si>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</si>
  <si>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</si>
  <si>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</si>
  <si>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</si>
  <si>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</si>
  <si>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</si>
  <si>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</si>
  <si>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</si>
  <si>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</si>
  <si>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 xml:space="preserve">  Easyflex &lt;&gt;</t>
  </si>
  <si>
    <t>Distance overlap</t>
  </si>
  <si>
    <t xml:space="preserve">in cm           = </t>
  </si>
  <si>
    <t>Afstand overlap</t>
  </si>
  <si>
    <t>Test rail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</si>
  <si>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</si>
  <si>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</si>
  <si>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</si>
  <si>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</si>
  <si>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</si>
  <si>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</si>
  <si>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</si>
  <si>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</si>
  <si>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</si>
  <si>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</si>
  <si>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</si>
  <si>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</si>
  <si>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</si>
  <si>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</si>
  <si>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</si>
  <si>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</si>
  <si>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2 1/8"- 2 3/8"- 2 5/8"  = </t>
  </si>
  <si>
    <t xml:space="preserve">5,4cm / 6cm / 8cm   = </t>
  </si>
  <si>
    <t xml:space="preserve"> hooks in pockets* = </t>
  </si>
  <si>
    <t xml:space="preserve">haken in pockets* = </t>
  </si>
  <si>
    <t>Lengte rail in cm    =</t>
  </si>
  <si>
    <t xml:space="preserve">Track size in cm    = </t>
  </si>
  <si>
    <t xml:space="preserve">Track size in inches  = </t>
  </si>
  <si>
    <t xml:space="preserve">Lengte rail in inches   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</si>
  <si>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</si>
  <si>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</si>
  <si>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</si>
  <si>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</si>
  <si>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</si>
  <si>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</si>
  <si>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glijder taal</t>
  </si>
  <si>
    <t>Test glijder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</si>
  <si>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</si>
  <si>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</si>
  <si>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</si>
  <si>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</si>
  <si>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</si>
  <si>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</si>
  <si>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</si>
  <si>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</si>
  <si>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</si>
  <si>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</si>
  <si>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</si>
  <si>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</si>
  <si>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</si>
  <si>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</si>
  <si>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</si>
  <si>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""</t>
  </si>
  <si>
    <t>Zijde pakket</t>
  </si>
  <si>
    <t>Type voorloper</t>
  </si>
  <si>
    <t>Overlap FMS Dual</t>
  </si>
  <si>
    <t>6 cm</t>
  </si>
  <si>
    <t>8 cm</t>
  </si>
  <si>
    <t>5,4 cm</t>
  </si>
  <si>
    <t>Lengte wavekoord</t>
  </si>
  <si>
    <t>Blauw  =  0</t>
  </si>
  <si>
    <t>Wit  =  1</t>
  </si>
  <si>
    <t>Groen  =  2</t>
  </si>
  <si>
    <t>Geel  =  3</t>
  </si>
  <si>
    <t>Blauw  =  2</t>
  </si>
  <si>
    <t>Zijde pakket &amp; type voorloper</t>
  </si>
  <si>
    <t>Zijde pakket als kunststof (FMS)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</si>
  <si>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</si>
  <si>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</si>
  <si>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</si>
  <si>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</si>
  <si>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</si>
  <si>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</si>
  <si>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x</t>
  </si>
  <si>
    <t>Vierkante wave glijder</t>
  </si>
  <si>
    <t>Easyflex wave glijder</t>
  </si>
  <si>
    <t>Wave roller</t>
  </si>
  <si>
    <t>lengte motorpoelie</t>
  </si>
  <si>
    <t>breedte alle glijders</t>
  </si>
  <si>
    <t>/ lengte wavekoord</t>
  </si>
  <si>
    <t>Afronden naar boven</t>
  </si>
  <si>
    <t xml:space="preserve">C = </t>
  </si>
  <si>
    <t xml:space="preserve">B = </t>
  </si>
  <si>
    <t xml:space="preserve">D = </t>
  </si>
  <si>
    <t xml:space="preserve">E = </t>
  </si>
  <si>
    <t xml:space="preserve">F = </t>
  </si>
  <si>
    <t xml:space="preserve">G = </t>
  </si>
  <si>
    <t xml:space="preserve">L = </t>
  </si>
  <si>
    <t xml:space="preserve">W = </t>
  </si>
  <si>
    <t xml:space="preserve">X = </t>
  </si>
  <si>
    <t>Breedte glijder</t>
  </si>
  <si>
    <t>Lengte retour doorlopend vlak</t>
  </si>
  <si>
    <t>Lengte loopvlak</t>
  </si>
  <si>
    <t>Even/oneven motor</t>
  </si>
  <si>
    <t>Even/oneven retour</t>
  </si>
  <si>
    <t>XX</t>
  </si>
  <si>
    <t>Retourpoelie leidend in formule</t>
  </si>
  <si>
    <t>V2.5</t>
  </si>
  <si>
    <t>Mobile version</t>
  </si>
  <si>
    <t>Mobile</t>
  </si>
  <si>
    <t>Mobiel</t>
  </si>
  <si>
    <t>Mobile version:</t>
  </si>
  <si>
    <t>Track type</t>
  </si>
  <si>
    <t>Track size</t>
  </si>
  <si>
    <t>in cm</t>
  </si>
  <si>
    <t>Easyflex &lt;&gt;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</si>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</sst>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00"/>
    <numFmt numFmtId="165" formatCode="0.0"/>
    <numFmt numFmtId="166" formatCode="0.0000"/>
  </numFmts>
  <fonts count="2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3"/>
      <name val="Syntax LT Std Black"/>
      <family val="2"/>
    </font>
    <font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52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13" xfId="0" applyFont="1" applyBorder="1" applyProtection="1">
      <protection hidden="1"/>
    </xf>
    <xf numFmtId="0" fontId="1" fillId="0" borderId="10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1" fillId="0" borderId="4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1" fillId="0" borderId="12" xfId="0" applyFont="1" applyBorder="1" applyProtection="1">
      <protection hidden="1"/>
    </xf>
    <xf numFmtId="0" fontId="0" fillId="0" borderId="10" xfId="0" applyBorder="1" applyProtection="1">
      <protection hidden="1"/>
    </xf>
    <xf numFmtId="0" fontId="0" fillId="0" borderId="14" xfId="0" applyBorder="1" applyProtection="1">
      <protection hidden="1"/>
    </xf>
    <xf numFmtId="0" fontId="1" fillId="0" borderId="25" xfId="0" applyFont="1" applyBorder="1" applyProtection="1">
      <protection hidden="1"/>
    </xf>
    <xf numFmtId="0" fontId="0" fillId="0" borderId="26" xfId="0" applyBorder="1" applyProtection="1">
      <protection hidden="1"/>
    </xf>
    <xf numFmtId="0" fontId="0" fillId="0" borderId="24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1" fontId="1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5" fontId="1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7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1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0" fillId="8" borderId="27" xfId="0" applyFill="1" applyBorder="1"/>
    <xf numFmtId="0" fontId="14" fillId="8" borderId="27" xfId="0" applyFont="1" applyFill="1" applyBorder="1" applyAlignment="1">
      <alignment horizontal="center"/>
    </xf>
    <xf numFmtId="0" fontId="5" fillId="0" borderId="33" xfId="0" quotePrefix="1" applyFont="1" applyBorder="1" applyAlignment="1">
      <alignment horizontal="center"/>
    </xf>
    <xf numFmtId="0" fontId="5" fillId="0" borderId="32" xfId="0" applyFont="1" applyBorder="1" applyAlignment="1" applyProtection="1">
      <alignment horizontal="center"/>
      <protection hidden="1"/>
    </xf>
    <xf numFmtId="0" fontId="5" fillId="0" borderId="3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18" fillId="0" borderId="32" xfId="0" quotePrefix="1" applyFont="1" applyBorder="1" applyAlignment="1">
      <alignment horizontal="center"/>
    </xf>
    <xf numFmtId="0" fontId="18" fillId="0" borderId="31" xfId="0" applyFont="1" applyBorder="1" applyAlignment="1" applyProtection="1">
      <alignment horizontal="center"/>
      <protection hidden="1"/>
    </xf>
    <xf numFmtId="0" fontId="18" fillId="0" borderId="32" xfId="0" applyFont="1" applyBorder="1" applyAlignment="1">
      <alignment horizontal="center"/>
    </xf>
    <xf numFmtId="0" fontId="18" fillId="0" borderId="32" xfId="0" applyFont="1" applyBorder="1" applyAlignment="1" applyProtection="1">
      <alignment horizontal="center"/>
      <protection hidden="1"/>
    </xf>
    <xf numFmtId="0" fontId="6" fillId="0" borderId="3" xfId="0" quotePrefix="1" applyFont="1" applyBorder="1" applyProtection="1">
      <protection hidden="1"/>
    </xf>
    <xf numFmtId="0" fontId="6" fillId="0" borderId="0" xfId="0" quotePrefix="1" applyFont="1" applyProtection="1">
      <protection hidden="1"/>
    </xf>
    <xf numFmtId="0" fontId="6" fillId="0" borderId="4" xfId="0" quotePrefix="1" applyFont="1" applyBorder="1" applyProtection="1">
      <protection hidden="1"/>
    </xf>
    <xf numFmtId="0" fontId="0" fillId="0" borderId="0" xfId="0" applyAlignment="1">
      <alignment wrapText="1"/>
    </xf>
    <xf numFmtId="0" fontId="13" fillId="0" borderId="0" xfId="0" applyFont="1"/>
    <xf numFmtId="0" fontId="5" fillId="0" borderId="33" xfId="0" applyFont="1" applyBorder="1" applyAlignment="1" applyProtection="1">
      <alignment horizontal="center"/>
      <protection hidden="1"/>
    </xf>
    <xf numFmtId="0" fontId="5" fillId="0" borderId="28" xfId="0" applyFont="1" applyBorder="1" applyAlignment="1">
      <alignment horizontal="center"/>
    </xf>
    <xf numFmtId="0" fontId="1" fillId="8" borderId="31" xfId="0" applyFont="1" applyFill="1" applyBorder="1" applyProtection="1">
      <protection hidden="1"/>
    </xf>
    <xf numFmtId="0" fontId="17" fillId="0" borderId="31" xfId="0" applyFont="1" applyBorder="1" applyAlignment="1" applyProtection="1">
      <alignment horizontal="center"/>
      <protection hidden="1"/>
    </xf>
    <xf numFmtId="0" fontId="0" fillId="0" borderId="27" xfId="0" applyBorder="1" applyAlignment="1">
      <alignment horizontal="center"/>
    </xf>
    <xf numFmtId="0" fontId="0" fillId="0" borderId="12" xfId="0" applyBorder="1" applyProtection="1">
      <protection hidden="1"/>
    </xf>
    <xf numFmtId="0" fontId="1" fillId="8" borderId="28" xfId="0" quotePrefix="1" applyFont="1" applyFill="1" applyBorder="1" applyAlignment="1" applyProtection="1">
      <alignment horizontal="center" textRotation="90"/>
      <protection hidden="1"/>
    </xf>
    <xf numFmtId="0" fontId="16" fillId="0" borderId="0" xfId="0" quotePrefix="1" applyFont="1" applyAlignment="1" applyProtection="1">
      <alignment horizontal="left"/>
      <protection hidden="1"/>
    </xf>
    <xf numFmtId="0" fontId="0" fillId="0" borderId="0" xfId="0" quotePrefix="1"/>
    <xf numFmtId="0" fontId="0" fillId="8" borderId="32" xfId="0" applyFill="1" applyBorder="1"/>
    <xf numFmtId="0" fontId="1" fillId="4" borderId="33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" xfId="0" applyBorder="1"/>
    <xf numFmtId="0" fontId="1" fillId="4" borderId="21" xfId="0" quotePrefix="1" applyFont="1" applyFill="1" applyBorder="1" applyAlignment="1" applyProtection="1">
      <alignment horizontal="center"/>
      <protection hidden="1"/>
    </xf>
    <xf numFmtId="0" fontId="1" fillId="8" borderId="8" xfId="0" applyFont="1" applyFill="1" applyBorder="1" applyProtection="1">
      <protection hidden="1"/>
    </xf>
    <xf numFmtId="0" fontId="1" fillId="8" borderId="8" xfId="0" applyFont="1" applyFill="1" applyBorder="1"/>
    <xf numFmtId="0" fontId="1" fillId="8" borderId="8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quotePrefix="1" applyFont="1" applyProtection="1">
      <protection hidden="1"/>
    </xf>
    <xf numFmtId="0" fontId="6" fillId="0" borderId="0" xfId="0" applyFont="1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" fillId="9" borderId="0" xfId="0" applyFont="1" applyFill="1" applyProtection="1">
      <protection hidden="1"/>
    </xf>
    <xf numFmtId="0" fontId="1" fillId="4" borderId="31" xfId="0" applyFont="1" applyFill="1" applyBorder="1" applyAlignment="1">
      <alignment horizontal="center"/>
    </xf>
    <xf numFmtId="0" fontId="1" fillId="8" borderId="27" xfId="0" quotePrefix="1" applyFont="1" applyFill="1" applyBorder="1" applyAlignment="1" applyProtection="1">
      <alignment horizontal="center" textRotation="90"/>
      <protection hidden="1"/>
    </xf>
    <xf numFmtId="0" fontId="8" fillId="0" borderId="0" xfId="0" applyFont="1" applyProtection="1">
      <protection hidden="1"/>
    </xf>
    <xf numFmtId="0" fontId="1" fillId="8" borderId="13" xfId="0" applyFont="1" applyFill="1" applyBorder="1" applyProtection="1">
      <protection hidden="1"/>
    </xf>
    <xf numFmtId="0" fontId="1" fillId="8" borderId="11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0" fillId="3" borderId="0" xfId="0" quotePrefix="1" applyFill="1" applyProtection="1">
      <protection hidden="1"/>
    </xf>
    <xf numFmtId="0" fontId="0" fillId="6" borderId="0" xfId="0" applyFill="1" applyAlignment="1">
      <alignment horizontal="center"/>
    </xf>
    <xf numFmtId="0" fontId="0" fillId="6" borderId="4" xfId="0" applyFill="1" applyBorder="1" applyAlignment="1">
      <alignment horizontal="center"/>
    </xf>
    <xf numFmtId="0" fontId="0" fillId="7" borderId="3" xfId="0" quotePrefix="1" applyFill="1" applyBorder="1" applyAlignment="1">
      <alignment horizontal="center"/>
    </xf>
    <xf numFmtId="0" fontId="0" fillId="7" borderId="0" xfId="0" quotePrefix="1" applyFill="1" applyAlignment="1">
      <alignment horizontal="center"/>
    </xf>
    <xf numFmtId="0" fontId="0" fillId="7" borderId="4" xfId="0" quotePrefix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3" borderId="0" xfId="0" applyFill="1" applyAlignment="1" applyProtection="1">
      <alignment horizontal="center" vertical="center"/>
      <protection hidden="1"/>
    </xf>
    <xf numFmtId="9" fontId="1" fillId="3" borderId="0" xfId="0" applyNumberFormat="1" applyFont="1" applyFill="1" applyProtection="1"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0" fontId="0" fillId="3" borderId="1" xfId="0" applyFill="1" applyBorder="1" applyProtection="1"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5" fillId="0" borderId="0" xfId="0" quotePrefix="1" applyFont="1" applyProtection="1">
      <protection hidden="1"/>
    </xf>
    <xf numFmtId="0" fontId="5" fillId="0" borderId="0" xfId="0" quotePrefix="1" applyFont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9" fontId="7" fillId="0" borderId="0" xfId="0" applyNumberFormat="1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Alignment="1" applyProtection="1">
      <alignment horizontal="left"/>
      <protection hidden="1"/>
    </xf>
    <xf numFmtId="165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3" fillId="0" borderId="0" xfId="0" quotePrefix="1" applyFont="1" applyProtection="1"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10" xfId="0" quotePrefix="1" applyFont="1" applyBorder="1" applyProtection="1">
      <protection hidden="1"/>
    </xf>
    <xf numFmtId="0" fontId="1" fillId="0" borderId="15" xfId="0" quotePrefix="1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1" fillId="0" borderId="45" xfId="0" applyFont="1" applyBorder="1" applyProtection="1">
      <protection hidden="1"/>
    </xf>
    <xf numFmtId="0" fontId="1" fillId="0" borderId="46" xfId="0" applyFont="1" applyBorder="1" applyProtection="1">
      <protection hidden="1"/>
    </xf>
    <xf numFmtId="0" fontId="1" fillId="0" borderId="47" xfId="0" applyFont="1" applyBorder="1" applyProtection="1">
      <protection hidden="1"/>
    </xf>
    <xf numFmtId="0" fontId="0" fillId="0" borderId="10" xfId="0" applyBorder="1"/>
    <xf numFmtId="0" fontId="1" fillId="0" borderId="51" xfId="0" applyFont="1" applyBorder="1" applyProtection="1">
      <protection hidden="1"/>
    </xf>
    <xf numFmtId="0" fontId="1" fillId="0" borderId="52" xfId="0" applyFont="1" applyBorder="1" applyProtection="1">
      <protection hidden="1"/>
    </xf>
    <xf numFmtId="0" fontId="1" fillId="2" borderId="21" xfId="0" applyFont="1" applyFill="1" applyBorder="1" applyAlignment="1" applyProtection="1">
      <alignment horizontal="center"/>
      <protection hidden="1"/>
    </xf>
    <xf numFmtId="0" fontId="1" fillId="8" borderId="48" xfId="0" applyFont="1" applyFill="1" applyBorder="1" applyProtection="1">
      <protection hidden="1"/>
    </xf>
    <xf numFmtId="0" fontId="1" fillId="8" borderId="24" xfId="0" applyFont="1" applyFill="1" applyBorder="1" applyProtection="1">
      <protection hidden="1"/>
    </xf>
    <xf numFmtId="0" fontId="1" fillId="8" borderId="49" xfId="0" applyFont="1" applyFill="1" applyBorder="1" applyProtection="1">
      <protection hidden="1"/>
    </xf>
    <xf numFmtId="0" fontId="1" fillId="8" borderId="50" xfId="0" applyFont="1" applyFill="1" applyBorder="1" applyProtection="1">
      <protection hidden="1"/>
    </xf>
    <xf numFmtId="0" fontId="1" fillId="8" borderId="38" xfId="0" applyFont="1" applyFill="1" applyBorder="1" applyProtection="1">
      <protection hidden="1"/>
    </xf>
    <xf numFmtId="0" fontId="0" fillId="8" borderId="24" xfId="0" applyFill="1" applyBorder="1"/>
    <xf numFmtId="0" fontId="1" fillId="8" borderId="19" xfId="0" applyFont="1" applyFill="1" applyBorder="1" applyAlignment="1" applyProtection="1">
      <alignment horizontal="center"/>
      <protection hidden="1"/>
    </xf>
    <xf numFmtId="0" fontId="1" fillId="8" borderId="18" xfId="0" applyFont="1" applyFill="1" applyBorder="1" applyAlignment="1" applyProtection="1">
      <alignment horizontal="center"/>
      <protection hidden="1"/>
    </xf>
    <xf numFmtId="0" fontId="1" fillId="8" borderId="20" xfId="0" applyFont="1" applyFill="1" applyBorder="1" applyAlignment="1" applyProtection="1">
      <alignment horizontal="center"/>
      <protection hidden="1"/>
    </xf>
    <xf numFmtId="0" fontId="1" fillId="0" borderId="36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" fillId="0" borderId="53" xfId="0" quotePrefix="1" applyFont="1" applyBorder="1" applyProtection="1">
      <protection hidden="1"/>
    </xf>
    <xf numFmtId="0" fontId="1" fillId="0" borderId="53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8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8" borderId="3" xfId="0" applyFont="1" applyFill="1" applyBorder="1" applyProtection="1">
      <protection hidden="1"/>
    </xf>
    <xf numFmtId="0" fontId="0" fillId="0" borderId="12" xfId="0" applyBorder="1" applyAlignment="1" applyProtection="1">
      <alignment horizontal="center"/>
      <protection hidden="1"/>
    </xf>
    <xf numFmtId="9" fontId="0" fillId="0" borderId="24" xfId="0" quotePrefix="1" applyNumberFormat="1" applyBorder="1" applyProtection="1">
      <protection hidden="1"/>
    </xf>
    <xf numFmtId="12" fontId="0" fillId="0" borderId="24" xfId="0" quotePrefix="1" applyNumberFormat="1" applyBorder="1" applyProtection="1">
      <protection hidden="1"/>
    </xf>
    <xf numFmtId="0" fontId="0" fillId="0" borderId="24" xfId="0" quotePrefix="1" applyBorder="1" applyProtection="1">
      <protection hidden="1"/>
    </xf>
    <xf numFmtId="0" fontId="0" fillId="0" borderId="23" xfId="0" quotePrefix="1" applyBorder="1" applyProtection="1">
      <protection hidden="1"/>
    </xf>
    <xf numFmtId="0" fontId="1" fillId="8" borderId="0" xfId="0" applyFont="1" applyFill="1" applyProtection="1">
      <protection hidden="1"/>
    </xf>
    <xf numFmtId="0" fontId="1" fillId="8" borderId="0" xfId="0" applyFont="1" applyFill="1" applyAlignment="1">
      <alignment horizontal="center"/>
    </xf>
    <xf numFmtId="0" fontId="1" fillId="8" borderId="0" xfId="0" quotePrefix="1" applyFont="1" applyFill="1" applyProtection="1">
      <protection hidden="1"/>
    </xf>
    <xf numFmtId="0" fontId="1" fillId="8" borderId="0" xfId="0" applyFont="1" applyFill="1"/>
    <xf numFmtId="0" fontId="1" fillId="8" borderId="1" xfId="0" applyFont="1" applyFill="1" applyBorder="1" applyAlignment="1">
      <alignment horizontal="center"/>
    </xf>
    <xf numFmtId="0" fontId="1" fillId="2" borderId="22" xfId="0" applyFont="1" applyFill="1" applyBorder="1" applyProtection="1">
      <protection hidden="1"/>
    </xf>
    <xf numFmtId="0" fontId="1" fillId="2" borderId="24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8" borderId="15" xfId="0" applyFont="1" applyFill="1" applyBorder="1" applyProtection="1">
      <protection hidden="1"/>
    </xf>
    <xf numFmtId="0" fontId="1" fillId="0" borderId="26" xfId="0" applyFont="1" applyBorder="1" applyProtection="1">
      <protection hidden="1"/>
    </xf>
    <xf numFmtId="166" fontId="1" fillId="0" borderId="0" xfId="0" quotePrefix="1" applyNumberFormat="1" applyFont="1" applyProtection="1">
      <protection hidden="1"/>
    </xf>
    <xf numFmtId="0" fontId="0" fillId="8" borderId="49" xfId="0" applyFill="1" applyBorder="1"/>
    <xf numFmtId="0" fontId="0" fillId="0" borderId="15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2" xfId="0" quotePrefix="1" applyNumberFormat="1" applyBorder="1" applyProtection="1">
      <protection hidden="1"/>
    </xf>
    <xf numFmtId="0" fontId="1" fillId="8" borderId="13" xfId="0" quotePrefix="1" applyFont="1" applyFill="1" applyBorder="1" applyProtection="1">
      <protection hidden="1"/>
    </xf>
    <xf numFmtId="0" fontId="1" fillId="8" borderId="1" xfId="0" applyFont="1" applyFill="1" applyBorder="1" applyProtection="1">
      <protection hidden="1"/>
    </xf>
    <xf numFmtId="0" fontId="1" fillId="8" borderId="6" xfId="0" applyFont="1" applyFill="1" applyBorder="1"/>
    <xf numFmtId="0" fontId="0" fillId="8" borderId="38" xfId="0" applyFill="1" applyBorder="1"/>
    <xf numFmtId="0" fontId="0" fillId="0" borderId="39" xfId="0" applyBorder="1"/>
    <xf numFmtId="0" fontId="1" fillId="0" borderId="55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3" xfId="0" applyFont="1" applyFill="1" applyBorder="1" applyAlignment="1" applyProtection="1">
      <alignment horizontal="right"/>
      <protection hidden="1"/>
    </xf>
    <xf numFmtId="0" fontId="1" fillId="3" borderId="11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8" xfId="0" applyFont="1" applyFill="1" applyBorder="1" applyProtection="1">
      <protection hidden="1"/>
    </xf>
    <xf numFmtId="0" fontId="1" fillId="3" borderId="10" xfId="0" applyFont="1" applyFill="1" applyBorder="1" applyProtection="1">
      <protection hidden="1"/>
    </xf>
    <xf numFmtId="0" fontId="19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10" xfId="0" applyNumberFormat="1" applyFont="1" applyFill="1" applyBorder="1" applyProtection="1">
      <protection hidden="1"/>
    </xf>
    <xf numFmtId="0" fontId="1" fillId="3" borderId="8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6" fontId="1" fillId="3" borderId="10" xfId="0" applyNumberFormat="1" applyFont="1" applyFill="1" applyBorder="1" applyProtection="1">
      <protection hidden="1"/>
    </xf>
    <xf numFmtId="166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8" xfId="0" applyFont="1" applyFill="1" applyBorder="1" applyAlignment="1" applyProtection="1">
      <alignment vertical="center"/>
      <protection hidden="1"/>
    </xf>
    <xf numFmtId="0" fontId="1" fillId="3" borderId="10" xfId="0" applyFont="1" applyFill="1" applyBorder="1" applyAlignment="1" applyProtection="1">
      <alignment horizontal="right"/>
      <protection hidden="1"/>
    </xf>
    <xf numFmtId="0" fontId="20" fillId="3" borderId="0" xfId="0" applyFont="1" applyFill="1" applyAlignment="1" applyProtection="1">
      <alignment vertical="center"/>
      <protection hidden="1"/>
    </xf>
    <xf numFmtId="0" fontId="21" fillId="3" borderId="0" xfId="0" applyFont="1" applyFill="1" applyProtection="1">
      <protection hidden="1"/>
    </xf>
    <xf numFmtId="0" fontId="1" fillId="3" borderId="14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7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2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3" fillId="3" borderId="0" xfId="0" applyFont="1" applyFill="1" applyProtection="1">
      <protection hidden="1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 vertical="center"/>
    </xf>
    <xf numFmtId="0" fontId="1" fillId="2" borderId="61" xfId="0" applyFont="1" applyFill="1" applyBorder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0" borderId="0" xfId="0" quotePrefix="1" applyProtection="1">
      <protection hidden="1"/>
    </xf>
    <xf numFmtId="166" fontId="0" fillId="0" borderId="0" xfId="0" applyNumberFormat="1"/>
    <xf numFmtId="0" fontId="0" fillId="0" borderId="0" xfId="0" quotePrefix="1" applyAlignment="1">
      <alignment wrapText="1"/>
    </xf>
    <xf numFmtId="0" fontId="0" fillId="0" borderId="0" xfId="0" applyAlignment="1">
      <alignment vertical="center"/>
    </xf>
    <xf numFmtId="0" fontId="15" fillId="0" borderId="0" xfId="0" applyFont="1" applyAlignment="1">
      <alignment vertical="center"/>
    </xf>
    <xf numFmtId="0" fontId="13" fillId="3" borderId="5" xfId="0" applyFont="1" applyFill="1" applyBorder="1" applyAlignment="1" applyProtection="1">
      <alignment horizontal="center"/>
      <protection hidden="1"/>
    </xf>
    <xf numFmtId="0" fontId="1" fillId="2" borderId="51" xfId="0" applyFont="1" applyFill="1" applyBorder="1" applyProtection="1">
      <protection hidden="1"/>
    </xf>
    <xf numFmtId="0" fontId="1" fillId="2" borderId="43" xfId="0" applyFont="1" applyFill="1" applyBorder="1" applyProtection="1">
      <protection hidden="1"/>
    </xf>
    <xf numFmtId="0" fontId="1" fillId="2" borderId="53" xfId="0" applyFont="1" applyFill="1" applyBorder="1" applyProtection="1">
      <protection hidden="1"/>
    </xf>
    <xf numFmtId="0" fontId="1" fillId="2" borderId="42" xfId="0" applyFont="1" applyFill="1" applyBorder="1" applyProtection="1">
      <protection hidden="1"/>
    </xf>
    <xf numFmtId="0" fontId="1" fillId="2" borderId="63" xfId="0" applyFont="1" applyFill="1" applyBorder="1" applyProtection="1">
      <protection hidden="1"/>
    </xf>
    <xf numFmtId="0" fontId="1" fillId="2" borderId="64" xfId="0" applyFont="1" applyFill="1" applyBorder="1" applyProtection="1">
      <protection hidden="1"/>
    </xf>
    <xf numFmtId="0" fontId="1" fillId="0" borderId="0" xfId="0" applyFont="1"/>
    <xf numFmtId="0" fontId="3" fillId="0" borderId="37" xfId="0" applyFont="1" applyBorder="1" applyProtection="1">
      <protection hidden="1"/>
    </xf>
    <xf numFmtId="0" fontId="3" fillId="0" borderId="10" xfId="0" applyFont="1" applyBorder="1" applyProtection="1">
      <protection hidden="1"/>
    </xf>
    <xf numFmtId="0" fontId="0" fillId="0" borderId="0" xfId="0" applyAlignment="1" applyProtection="1">
      <alignment vertical="center"/>
      <protection hidden="1"/>
    </xf>
    <xf numFmtId="0" fontId="3" fillId="0" borderId="3" xfId="0" applyFont="1" applyBorder="1" applyProtection="1">
      <protection hidden="1"/>
    </xf>
    <xf numFmtId="0" fontId="3" fillId="0" borderId="36" xfId="0" applyFont="1" applyBorder="1" applyProtection="1">
      <protection hidden="1"/>
    </xf>
    <xf numFmtId="0" fontId="1" fillId="0" borderId="63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4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8" borderId="10" xfId="0" applyFont="1" applyFill="1" applyBorder="1" applyAlignment="1" applyProtection="1">
      <alignment horizontal="center" vertical="center"/>
      <protection hidden="1"/>
    </xf>
    <xf numFmtId="0" fontId="1" fillId="8" borderId="0" xfId="0" applyFont="1" applyFill="1" applyAlignment="1" applyProtection="1">
      <alignment horizontal="center" vertical="center"/>
      <protection hidden="1"/>
    </xf>
    <xf numFmtId="0" fontId="1" fillId="8" borderId="8" xfId="0" applyFont="1" applyFill="1" applyBorder="1" applyAlignment="1" applyProtection="1">
      <alignment horizontal="center" vertical="center"/>
      <protection hidden="1"/>
    </xf>
    <xf numFmtId="0" fontId="1" fillId="8" borderId="14" xfId="0" applyFont="1" applyFill="1" applyBorder="1" applyAlignment="1" applyProtection="1">
      <alignment horizontal="center" vertical="center"/>
      <protection hidden="1"/>
    </xf>
    <xf numFmtId="0" fontId="1" fillId="8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9" borderId="57" xfId="0" applyFont="1" applyFill="1" applyBorder="1" applyAlignment="1" applyProtection="1">
      <alignment horizontal="left"/>
      <protection hidden="1"/>
    </xf>
    <xf numFmtId="0" fontId="1" fillId="9" borderId="58" xfId="0" applyFont="1" applyFill="1" applyBorder="1" applyAlignment="1" applyProtection="1">
      <alignment horizontal="left"/>
      <protection hidden="1"/>
    </xf>
    <xf numFmtId="0" fontId="1" fillId="9" borderId="56" xfId="0" applyFont="1" applyFill="1" applyBorder="1" applyAlignment="1" applyProtection="1">
      <alignment horizontal="center"/>
      <protection hidden="1"/>
    </xf>
    <xf numFmtId="0" fontId="1" fillId="9" borderId="58" xfId="0" applyFont="1" applyFill="1" applyBorder="1" applyAlignment="1" applyProtection="1">
      <alignment horizontal="center"/>
      <protection hidden="1"/>
    </xf>
    <xf numFmtId="0" fontId="1" fillId="4" borderId="56" xfId="0" applyFont="1" applyFill="1" applyBorder="1" applyAlignment="1" applyProtection="1">
      <alignment horizontal="center"/>
      <protection hidden="1"/>
    </xf>
    <xf numFmtId="0" fontId="1" fillId="4" borderId="58" xfId="0" applyFont="1" applyFill="1" applyBorder="1" applyAlignment="1" applyProtection="1">
      <alignment horizontal="center"/>
      <protection hidden="1"/>
    </xf>
    <xf numFmtId="0" fontId="1" fillId="6" borderId="1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5" borderId="30" xfId="0" quotePrefix="1" applyFont="1" applyFill="1" applyBorder="1" applyAlignment="1" applyProtection="1">
      <alignment horizontal="left"/>
      <protection hidden="1"/>
    </xf>
    <xf numFmtId="0" fontId="1" fillId="5" borderId="60" xfId="0" quotePrefix="1" applyFont="1" applyFill="1" applyBorder="1" applyAlignment="1" applyProtection="1">
      <alignment horizontal="left"/>
      <protection hidden="1"/>
    </xf>
    <xf numFmtId="0" fontId="1" fillId="8" borderId="12" xfId="0" applyFont="1" applyFill="1" applyBorder="1" applyAlignment="1" applyProtection="1">
      <alignment horizontal="center" vertical="center"/>
      <protection hidden="1"/>
    </xf>
    <xf numFmtId="0" fontId="1" fillId="8" borderId="11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4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1" fontId="1" fillId="2" borderId="12" xfId="0" applyNumberFormat="1" applyFont="1" applyFill="1" applyBorder="1" applyAlignment="1" applyProtection="1">
      <alignment horizontal="center" vertical="center"/>
      <protection hidden="1"/>
    </xf>
    <xf numFmtId="0" fontId="0" fillId="0" borderId="10" xfId="0" applyBorder="1" applyAlignment="1">
      <alignment horizontal="left"/>
    </xf>
    <xf numFmtId="0" fontId="0" fillId="0" borderId="0" xfId="0" applyAlignment="1">
      <alignment horizontal="left"/>
    </xf>
    <xf numFmtId="0" fontId="1" fillId="0" borderId="10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10" xfId="0" quotePrefix="1" applyBorder="1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1" fillId="8" borderId="13" xfId="0" applyFont="1" applyFill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2" borderId="40" xfId="0" applyFont="1" applyFill="1" applyBorder="1" applyAlignment="1" applyProtection="1">
      <alignment horizontal="center"/>
      <protection hidden="1"/>
    </xf>
    <xf numFmtId="0" fontId="1" fillId="2" borderId="62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0" fillId="0" borderId="10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1" fillId="0" borderId="60" xfId="0" applyFont="1" applyBorder="1" applyAlignment="1" applyProtection="1">
      <alignment horizont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0" borderId="59" xfId="0" quotePrefix="1" applyFont="1" applyBorder="1" applyAlignment="1" applyProtection="1">
      <alignment horizontal="left"/>
      <protection hidden="1"/>
    </xf>
    <xf numFmtId="0" fontId="1" fillId="0" borderId="30" xfId="0" quotePrefix="1" applyFont="1" applyBorder="1" applyAlignment="1" applyProtection="1">
      <alignment horizontal="left"/>
      <protection hidden="1"/>
    </xf>
    <xf numFmtId="0" fontId="1" fillId="0" borderId="60" xfId="0" quotePrefix="1" applyFont="1" applyBorder="1" applyAlignment="1" applyProtection="1">
      <alignment horizontal="left"/>
      <protection hidden="1"/>
    </xf>
    <xf numFmtId="0" fontId="1" fillId="6" borderId="0" xfId="0" applyFont="1" applyFill="1" applyAlignment="1" applyProtection="1">
      <alignment horizontal="left"/>
      <protection hidden="1"/>
    </xf>
    <xf numFmtId="0" fontId="1" fillId="6" borderId="8" xfId="0" applyFont="1" applyFill="1" applyBorder="1" applyAlignment="1" applyProtection="1">
      <alignment horizontal="left"/>
      <protection hidden="1"/>
    </xf>
    <xf numFmtId="0" fontId="1" fillId="7" borderId="1" xfId="0" applyFont="1" applyFill="1" applyBorder="1" applyAlignment="1" applyProtection="1">
      <alignment horizontal="left"/>
      <protection hidden="1"/>
    </xf>
    <xf numFmtId="0" fontId="1" fillId="7" borderId="7" xfId="0" applyFont="1" applyFill="1" applyBorder="1" applyAlignment="1" applyProtection="1">
      <alignment horizontal="left"/>
      <protection hidden="1"/>
    </xf>
    <xf numFmtId="0" fontId="0" fillId="5" borderId="0" xfId="0" applyFill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1" fillId="6" borderId="0" xfId="0" applyFont="1" applyFill="1" applyAlignment="1" applyProtection="1">
      <alignment horizontal="center"/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0" fillId="6" borderId="4" xfId="0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applyFont="1" applyBorder="1" applyAlignment="1" applyProtection="1">
      <alignment horizontal="center"/>
      <protection hidden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1" fillId="0" borderId="10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Alignment="1" applyProtection="1">
      <alignment horizontal="left"/>
      <protection hidden="1"/>
    </xf>
    <xf numFmtId="0" fontId="1" fillId="0" borderId="14" xfId="0" quotePrefix="1" applyFont="1" applyBorder="1" applyAlignment="1" applyProtection="1">
      <alignment horizontal="center"/>
      <protection hidden="1"/>
    </xf>
    <xf numFmtId="0" fontId="0" fillId="6" borderId="3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8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166" fontId="1" fillId="0" borderId="13" xfId="0" quotePrefix="1" applyNumberFormat="1" applyFont="1" applyBorder="1" applyAlignment="1" applyProtection="1">
      <alignment horizontal="center"/>
      <protection hidden="1"/>
    </xf>
    <xf numFmtId="166" fontId="1" fillId="0" borderId="11" xfId="0" quotePrefix="1" applyNumberFormat="1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1" fillId="6" borderId="3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4" fillId="0" borderId="27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" fillId="8" borderId="32" xfId="0" applyFont="1" applyFill="1" applyBorder="1" applyAlignment="1" applyProtection="1">
      <alignment horizontal="center"/>
      <protection hidden="1"/>
    </xf>
    <xf numFmtId="0" fontId="1" fillId="8" borderId="31" xfId="0" applyFont="1" applyFill="1" applyBorder="1" applyAlignment="1" applyProtection="1">
      <alignment horizontal="center"/>
      <protection hidden="1"/>
    </xf>
    <xf numFmtId="0" fontId="1" fillId="4" borderId="57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30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1" fillId="3" borderId="0" xfId="0" applyFont="1" applyFill="1" applyAlignment="1" applyProtection="1">
      <alignment horizontal="left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0" fillId="3" borderId="0" xfId="0" applyFill="1" applyAlignment="1">
      <alignment horizontal="center"/>
    </xf>
    <xf numFmtId="0" fontId="13" fillId="3" borderId="5" xfId="0" applyFont="1" applyFill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 textRotation="90"/>
      <protection hidden="1"/>
    </xf>
    <xf numFmtId="0" fontId="1" fillId="0" borderId="4" xfId="0" applyFont="1" applyBorder="1" applyAlignment="1" applyProtection="1">
      <alignment horizontal="center" textRotation="90"/>
      <protection hidden="1"/>
    </xf>
    <xf numFmtId="0" fontId="14" fillId="0" borderId="28" xfId="0" applyFont="1" applyBorder="1" applyAlignment="1">
      <alignment horizontal="center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3" xfId="0" applyFont="1" applyFill="1" applyBorder="1" applyAlignment="1" applyProtection="1">
      <alignment horizontal="center" vertical="center" wrapText="1"/>
      <protection locked="0"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9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9" fillId="3" borderId="0" xfId="0" applyFont="1" applyFill="1" applyAlignment="1" applyProtection="1">
      <alignment horizontal="center" vertical="center"/>
      <protection hidden="1"/>
    </xf>
    <xf numFmtId="0" fontId="11" fillId="3" borderId="0" xfId="0" applyFont="1" applyFill="1" applyAlignment="1" applyProtection="1">
      <alignment horizontal="left" vertical="center"/>
      <protection hidden="1"/>
    </xf>
    <xf numFmtId="0" fontId="11" fillId="3" borderId="8" xfId="0" applyFont="1" applyFill="1" applyBorder="1" applyAlignment="1" applyProtection="1">
      <alignment horizontal="left" vertical="center"/>
      <protection hidden="1"/>
    </xf>
    <xf numFmtId="0" fontId="1" fillId="3" borderId="10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" fontId="1" fillId="3" borderId="10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8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6" fillId="3" borderId="15" xfId="0" applyFont="1" applyFill="1" applyBorder="1" applyAlignment="1" applyProtection="1">
      <alignment horizontal="right" vertical="center"/>
      <protection hidden="1"/>
    </xf>
    <xf numFmtId="0" fontId="6" fillId="3" borderId="5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4" fillId="8" borderId="33" xfId="0" applyFont="1" applyFill="1" applyBorder="1" applyAlignment="1">
      <alignment horizontal="center"/>
    </xf>
    <xf numFmtId="0" fontId="14" fillId="8" borderId="32" xfId="0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3" borderId="0" xfId="0" applyFont="1" applyFill="1" applyAlignment="1" applyProtection="1">
      <alignment horizontal="left"/>
      <protection hidden="1"/>
    </xf>
    <xf numFmtId="0" fontId="6" fillId="3" borderId="16" xfId="0" applyFont="1" applyFill="1" applyBorder="1" applyAlignment="1" applyProtection="1">
      <alignment horizontal="right" vertical="center"/>
      <protection hidden="1"/>
    </xf>
    <xf numFmtId="0" fontId="6" fillId="3" borderId="2" xfId="0" applyFont="1" applyFill="1" applyBorder="1" applyAlignment="1" applyProtection="1">
      <alignment horizontal="right" vertical="center"/>
      <protection hidden="1"/>
    </xf>
    <xf numFmtId="0" fontId="6" fillId="3" borderId="17" xfId="0" applyFont="1" applyFill="1" applyBorder="1" applyAlignment="1" applyProtection="1">
      <alignment horizontal="right" vertical="center"/>
      <protection hidden="1"/>
    </xf>
    <xf numFmtId="0" fontId="6" fillId="3" borderId="9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6" fillId="3" borderId="1" xfId="0" applyFont="1" applyFill="1" applyBorder="1" applyAlignment="1" applyProtection="1">
      <alignment horizontal="center"/>
      <protection hidden="1"/>
    </xf>
    <xf numFmtId="0" fontId="11" fillId="3" borderId="0" xfId="0" applyFont="1" applyFill="1" applyAlignment="1" applyProtection="1">
      <alignment horizontal="left" vertical="center" wrapText="1"/>
      <protection hidden="1"/>
    </xf>
    <xf numFmtId="0" fontId="11" fillId="3" borderId="8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10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7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9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7" xfId="0" applyFont="1" applyFill="1" applyBorder="1" applyAlignment="1" applyProtection="1">
      <alignment horizontal="center" vertical="center"/>
      <protection locked="0"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4" xfId="0" applyFont="1" applyBorder="1" applyAlignment="1" applyProtection="1">
      <alignment horizontal="center" textRotation="90" wrapText="1"/>
      <protection hidden="1"/>
    </xf>
    <xf numFmtId="0" fontId="1" fillId="3" borderId="15" xfId="0" applyFont="1" applyFill="1" applyBorder="1" applyAlignment="1" applyProtection="1">
      <alignment horizontal="right" vertical="center" wrapText="1"/>
      <protection hidden="1"/>
    </xf>
    <xf numFmtId="0" fontId="1" fillId="3" borderId="5" xfId="0" applyFont="1" applyFill="1" applyBorder="1" applyAlignment="1" applyProtection="1">
      <alignment horizontal="right" vertical="center" wrapText="1"/>
      <protection hidden="1"/>
    </xf>
    <xf numFmtId="0" fontId="1" fillId="0" borderId="0" xfId="0" quotePrefix="1" applyFont="1" applyAlignment="1" applyProtection="1">
      <alignment horizontal="center" textRotation="90" wrapText="1"/>
      <protection hidden="1"/>
    </xf>
    <xf numFmtId="0" fontId="1" fillId="0" borderId="4" xfId="0" quotePrefix="1" applyFont="1" applyBorder="1" applyAlignment="1" applyProtection="1">
      <alignment horizontal="center" textRotation="90" wrapText="1"/>
      <protection hidden="1"/>
    </xf>
    <xf numFmtId="0" fontId="0" fillId="5" borderId="34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1" fillId="0" borderId="3" xfId="0" quotePrefix="1" applyFont="1" applyBorder="1" applyAlignment="1" applyProtection="1">
      <alignment horizontal="center" textRotation="90" wrapText="1"/>
      <protection hidden="1"/>
    </xf>
    <xf numFmtId="0" fontId="1" fillId="0" borderId="0" xfId="0" quotePrefix="1" applyFont="1" applyAlignment="1" applyProtection="1">
      <alignment horizontal="center" wrapText="1"/>
      <protection hidden="1"/>
    </xf>
    <xf numFmtId="0" fontId="1" fillId="0" borderId="4" xfId="0" quotePrefix="1" applyFont="1" applyBorder="1" applyAlignment="1" applyProtection="1">
      <alignment horizontal="center" wrapText="1"/>
      <protection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6" xfId="0" applyFont="1" applyFill="1" applyBorder="1" applyAlignment="1" applyProtection="1">
      <alignment horizontal="center" vertical="center" wrapText="1"/>
      <protection hidden="1"/>
    </xf>
    <xf numFmtId="0" fontId="1" fillId="3" borderId="2" xfId="0" applyFont="1" applyFill="1" applyBorder="1" applyAlignment="1" applyProtection="1">
      <alignment horizontal="center" vertical="center" wrapText="1"/>
      <protection hidden="1"/>
    </xf>
    <xf numFmtId="0" fontId="1" fillId="3" borderId="15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textRotation="90"/>
      <protection hidden="1"/>
    </xf>
    <xf numFmtId="0" fontId="6" fillId="0" borderId="4" xfId="0" applyFont="1" applyBorder="1" applyAlignment="1" applyProtection="1">
      <alignment horizontal="center" textRotation="90"/>
      <protection hidden="1"/>
    </xf>
    <xf numFmtId="0" fontId="0" fillId="0" borderId="35" xfId="0" applyBorder="1" applyAlignment="1">
      <alignment horizontal="center"/>
    </xf>
    <xf numFmtId="0" fontId="1" fillId="0" borderId="35" xfId="0" applyFont="1" applyBorder="1" applyAlignment="1" applyProtection="1">
      <alignment horizontal="center"/>
      <protection hidden="1"/>
    </xf>
    <xf numFmtId="0" fontId="1" fillId="0" borderId="8" xfId="0" quotePrefix="1" applyFont="1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16" fillId="0" borderId="5" xfId="0" applyFont="1" applyBorder="1" applyAlignment="1" applyProtection="1">
      <alignment horizontal="center" vertical="top"/>
      <protection hidden="1"/>
    </xf>
    <xf numFmtId="0" fontId="16" fillId="0" borderId="54" xfId="0" applyFont="1" applyBorder="1" applyAlignment="1" applyProtection="1">
      <alignment horizontal="center" vertical="top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7" borderId="3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0" borderId="14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9" xfId="0" quotePrefix="1" applyFont="1" applyBorder="1" applyAlignment="1" applyProtection="1">
      <alignment horizontal="center" textRotation="90"/>
      <protection hidden="1"/>
    </xf>
    <xf numFmtId="0" fontId="16" fillId="3" borderId="0" xfId="0" applyFont="1" applyFill="1" applyAlignment="1" applyProtection="1">
      <alignment horizontal="center" vertical="top"/>
      <protection locked="0" hidden="1"/>
    </xf>
    <xf numFmtId="0" fontId="1" fillId="0" borderId="27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6" fillId="0" borderId="32" xfId="0" quotePrefix="1" applyFont="1" applyBorder="1" applyAlignment="1" applyProtection="1">
      <alignment horizontal="center"/>
      <protection hidden="1"/>
    </xf>
    <xf numFmtId="0" fontId="1" fillId="4" borderId="33" xfId="0" quotePrefix="1" applyFont="1" applyFill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8" fillId="8" borderId="27" xfId="0" quotePrefix="1" applyFont="1" applyFill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4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9" borderId="56" xfId="0" applyFont="1" applyFill="1" applyBorder="1" applyAlignment="1" applyProtection="1">
      <alignment horizontal="left"/>
      <protection hidden="1"/>
    </xf>
    <xf numFmtId="9" fontId="1" fillId="0" borderId="59" xfId="0" applyNumberFormat="1" applyFont="1" applyBorder="1" applyAlignment="1" applyProtection="1">
      <alignment horizontal="left"/>
      <protection hidden="1"/>
    </xf>
    <xf numFmtId="9" fontId="1" fillId="0" borderId="30" xfId="0" applyNumberFormat="1" applyFont="1" applyBorder="1" applyAlignment="1" applyProtection="1">
      <alignment horizontal="left"/>
      <protection hidden="1"/>
    </xf>
    <xf numFmtId="9" fontId="1" fillId="0" borderId="60" xfId="0" applyNumberFormat="1" applyFont="1" applyBorder="1" applyAlignment="1" applyProtection="1">
      <alignment horizontal="left"/>
      <protection hidden="1"/>
    </xf>
    <xf numFmtId="0" fontId="1" fillId="0" borderId="14" xfId="0" applyFont="1" applyBorder="1" applyAlignment="1" applyProtection="1">
      <alignment horizontal="left"/>
      <protection hidden="1"/>
    </xf>
    <xf numFmtId="9" fontId="1" fillId="0" borderId="10" xfId="0" applyNumberFormat="1" applyFont="1" applyBorder="1" applyAlignment="1" applyProtection="1">
      <alignment horizontal="left"/>
      <protection hidden="1"/>
    </xf>
    <xf numFmtId="9" fontId="1" fillId="0" borderId="0" xfId="0" applyNumberFormat="1" applyFont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9" fontId="1" fillId="0" borderId="14" xfId="0" applyNumberFormat="1" applyFont="1" applyBorder="1" applyAlignment="1" applyProtection="1">
      <alignment horizontal="left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7" xfId="0" applyNumberFormat="1" applyFont="1" applyBorder="1" applyAlignment="1" applyProtection="1">
      <alignment horizontal="left"/>
      <protection hidden="1"/>
    </xf>
    <xf numFmtId="0" fontId="1" fillId="0" borderId="3" xfId="0" applyFont="1" applyBorder="1" applyAlignment="1" applyProtection="1">
      <alignment horizontal="center" textRotation="90" wrapText="1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</cellXfs>
  <cellStyles count="3">
    <cellStyle name="Komma" xfId="2" builtinId="3"/>
    <cellStyle name="Procent" xfId="1" builtinId="5"/>
    <cellStyle name="Standaard" xfId="0" builtinId="0"/>
  </cellStyles>
  <dxfs count="4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B065A"/>
      <color rgb="FFA0528F"/>
      <color rgb="FFA05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7" Type="http://schemas.openxmlformats.org/officeDocument/2006/relationships/image" Target="../media/image7.png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2.emf"/><Relationship Id="rId1" Type="http://schemas.openxmlformats.org/officeDocument/2006/relationships/image" Target="../media/image5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129998</xdr:colOff>
      <xdr:row>0</xdr:row>
      <xdr:rowOff>134470</xdr:rowOff>
    </xdr:from>
    <xdr:to>
      <xdr:col>20</xdr:col>
      <xdr:colOff>22983</xdr:colOff>
      <xdr:row>6</xdr:row>
      <xdr:rowOff>38306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7763" y="134470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29</xdr:row>
          <xdr:rowOff>134470</xdr:rowOff>
        </xdr:from>
        <xdr:to>
          <xdr:col>12</xdr:col>
          <xdr:colOff>2157</xdr:colOff>
          <xdr:row>37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425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26</xdr:row>
          <xdr:rowOff>167094</xdr:rowOff>
        </xdr:from>
        <xdr:to>
          <xdr:col>31</xdr:col>
          <xdr:colOff>2093</xdr:colOff>
          <xdr:row>36</xdr:row>
          <xdr:rowOff>142200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4251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3605893" y="5174523"/>
              <a:ext cx="5363307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596</xdr:row>
      <xdr:rowOff>38419</xdr:rowOff>
    </xdr:from>
    <xdr:to>
      <xdr:col>139</xdr:col>
      <xdr:colOff>3032114</xdr:colOff>
      <xdr:row>596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595</xdr:row>
      <xdr:rowOff>65678</xdr:rowOff>
    </xdr:from>
    <xdr:to>
      <xdr:col>139</xdr:col>
      <xdr:colOff>2916589</xdr:colOff>
      <xdr:row>595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594</xdr:row>
      <xdr:rowOff>0</xdr:rowOff>
    </xdr:from>
    <xdr:to>
      <xdr:col>139</xdr:col>
      <xdr:colOff>225303</xdr:colOff>
      <xdr:row>599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840758" y="107856618"/>
          <a:ext cx="639927" cy="2803214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594</xdr:row>
      <xdr:rowOff>112058</xdr:rowOff>
    </xdr:from>
    <xdr:to>
      <xdr:col>140</xdr:col>
      <xdr:colOff>404044</xdr:colOff>
      <xdr:row>600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148</xdr:col>
      <xdr:colOff>1</xdr:colOff>
      <xdr:row>599</xdr:row>
      <xdr:rowOff>1</xdr:rowOff>
    </xdr:from>
    <xdr:to>
      <xdr:col>149</xdr:col>
      <xdr:colOff>1</xdr:colOff>
      <xdr:row>600</xdr:row>
      <xdr:rowOff>1721356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3315274" y="118092683"/>
          <a:ext cx="5524500" cy="190443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600</xdr:row>
      <xdr:rowOff>0</xdr:rowOff>
    </xdr:from>
    <xdr:to>
      <xdr:col>143</xdr:col>
      <xdr:colOff>1</xdr:colOff>
      <xdr:row>601</xdr:row>
      <xdr:rowOff>14758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962955" y="118092682"/>
          <a:ext cx="5472545" cy="188512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1</xdr:rowOff>
    </xdr:from>
    <xdr:to>
      <xdr:col>143</xdr:col>
      <xdr:colOff>1</xdr:colOff>
      <xdr:row>619</xdr:row>
      <xdr:rowOff>13318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9962955" y="151759228"/>
          <a:ext cx="5472545" cy="1883679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617</xdr:row>
      <xdr:rowOff>1</xdr:rowOff>
    </xdr:from>
    <xdr:to>
      <xdr:col>148</xdr:col>
      <xdr:colOff>5472545</xdr:colOff>
      <xdr:row>618</xdr:row>
      <xdr:rowOff>13319</xdr:rowOff>
    </xdr:to>
    <xdr:pic>
      <xdr:nvPicPr>
        <xdr:cNvPr id="16" name="Afbeelding 15">
          <a:extLst>
            <a:ext uri="{FF2B5EF4-FFF2-40B4-BE49-F238E27FC236}">
              <a16:creationId xmlns:a16="http://schemas.microsoft.com/office/drawing/2014/main" id="{58A2C54D-1C77-4658-A9DB-B8615C626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3315273" y="151759228"/>
          <a:ext cx="5472545" cy="1883679"/>
        </a:xfrm>
        <a:prstGeom prst="rect">
          <a:avLst/>
        </a:prstGeom>
      </xdr:spPr>
    </xdr:pic>
    <xdr:clientData/>
  </xdr:twoCellAnchor>
  <xdr:twoCellAnchor editAs="oneCell">
    <xdr:from>
      <xdr:col>142</xdr:col>
      <xdr:colOff>-1</xdr:colOff>
      <xdr:row>613</xdr:row>
      <xdr:rowOff>0</xdr:rowOff>
    </xdr:from>
    <xdr:to>
      <xdr:col>142</xdr:col>
      <xdr:colOff>5463019</xdr:colOff>
      <xdr:row>614</xdr:row>
      <xdr:rowOff>20283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962954" y="142407409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612</xdr:row>
      <xdr:rowOff>0</xdr:rowOff>
    </xdr:from>
    <xdr:to>
      <xdr:col>149</xdr:col>
      <xdr:colOff>0</xdr:colOff>
      <xdr:row>613</xdr:row>
      <xdr:rowOff>27954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CABAA071-1344-4599-87E5-401E23047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3315273" y="142407409"/>
          <a:ext cx="5524500" cy="191192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615</xdr:row>
      <xdr:rowOff>0</xdr:rowOff>
    </xdr:from>
    <xdr:to>
      <xdr:col>148</xdr:col>
      <xdr:colOff>5463020</xdr:colOff>
      <xdr:row>616</xdr:row>
      <xdr:rowOff>20284</xdr:rowOff>
    </xdr:to>
    <xdr:pic>
      <xdr:nvPicPr>
        <xdr:cNvPr id="21" name="Afbeelding 20">
          <a:extLst>
            <a:ext uri="{FF2B5EF4-FFF2-40B4-BE49-F238E27FC236}">
              <a16:creationId xmlns:a16="http://schemas.microsoft.com/office/drawing/2014/main" id="{DD564068-00A4-4E64-A985-F79D70F9A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3315273" y="148018500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0</xdr:rowOff>
    </xdr:from>
    <xdr:to>
      <xdr:col>142</xdr:col>
      <xdr:colOff>5463020</xdr:colOff>
      <xdr:row>617</xdr:row>
      <xdr:rowOff>20283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962955" y="148018500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0</xdr:rowOff>
    </xdr:from>
    <xdr:to>
      <xdr:col>141</xdr:col>
      <xdr:colOff>0</xdr:colOff>
      <xdr:row>614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613</xdr:row>
      <xdr:rowOff>0</xdr:rowOff>
    </xdr:from>
    <xdr:to>
      <xdr:col>147</xdr:col>
      <xdr:colOff>0</xdr:colOff>
      <xdr:row>614</xdr:row>
      <xdr:rowOff>35979</xdr:rowOff>
    </xdr:to>
    <xdr:pic>
      <xdr:nvPicPr>
        <xdr:cNvPr id="26" name="Afbeelding 25">
          <a:extLst>
            <a:ext uri="{FF2B5EF4-FFF2-40B4-BE49-F238E27FC236}">
              <a16:creationId xmlns:a16="http://schemas.microsoft.com/office/drawing/2014/main" id="{11B0D359-7F2E-4930-8AAF-DE57BDD0D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57340500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8018500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616</xdr:row>
      <xdr:rowOff>0</xdr:rowOff>
    </xdr:from>
    <xdr:to>
      <xdr:col>147</xdr:col>
      <xdr:colOff>0</xdr:colOff>
      <xdr:row>617</xdr:row>
      <xdr:rowOff>35979</xdr:rowOff>
    </xdr:to>
    <xdr:pic>
      <xdr:nvPicPr>
        <xdr:cNvPr id="29" name="Afbeelding 28">
          <a:extLst>
            <a:ext uri="{FF2B5EF4-FFF2-40B4-BE49-F238E27FC236}">
              <a16:creationId xmlns:a16="http://schemas.microsoft.com/office/drawing/2014/main" id="{6D8DBD08-BC7C-4516-A75B-443BBC6BC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57340500" y="148018500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600</xdr:row>
      <xdr:rowOff>-1</xdr:rowOff>
    </xdr:from>
    <xdr:to>
      <xdr:col>141</xdr:col>
      <xdr:colOff>0</xdr:colOff>
      <xdr:row>601</xdr:row>
      <xdr:rowOff>28681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988182" y="118092681"/>
          <a:ext cx="5524500" cy="189904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600</xdr:row>
      <xdr:rowOff>0</xdr:rowOff>
    </xdr:from>
    <xdr:to>
      <xdr:col>147</xdr:col>
      <xdr:colOff>0</xdr:colOff>
      <xdr:row>601</xdr:row>
      <xdr:rowOff>27446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7340500" y="118092682"/>
          <a:ext cx="5524500" cy="189781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618</xdr:row>
      <xdr:rowOff>1</xdr:rowOff>
    </xdr:from>
    <xdr:to>
      <xdr:col>141</xdr:col>
      <xdr:colOff>0</xdr:colOff>
      <xdr:row>619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618</xdr:row>
      <xdr:rowOff>1</xdr:rowOff>
    </xdr:from>
    <xdr:to>
      <xdr:col>147</xdr:col>
      <xdr:colOff>0</xdr:colOff>
      <xdr:row>619</xdr:row>
      <xdr:rowOff>37380</xdr:rowOff>
    </xdr:to>
    <xdr:pic>
      <xdr:nvPicPr>
        <xdr:cNvPr id="36" name="Afbeelding 35">
          <a:extLst>
            <a:ext uri="{FF2B5EF4-FFF2-40B4-BE49-F238E27FC236}">
              <a16:creationId xmlns:a16="http://schemas.microsoft.com/office/drawing/2014/main" id="{AD5B7162-CF83-4114-B820-43381F403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57340500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40454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603</xdr:row>
      <xdr:rowOff>0</xdr:rowOff>
    </xdr:from>
    <xdr:to>
      <xdr:col>147</xdr:col>
      <xdr:colOff>0</xdr:colOff>
      <xdr:row>604</xdr:row>
      <xdr:rowOff>40454</xdr:rowOff>
    </xdr:to>
    <xdr:pic>
      <xdr:nvPicPr>
        <xdr:cNvPr id="38" name="Afbeelding 37">
          <a:extLst>
            <a:ext uri="{FF2B5EF4-FFF2-40B4-BE49-F238E27FC236}">
              <a16:creationId xmlns:a16="http://schemas.microsoft.com/office/drawing/2014/main" id="{4CF0C064-5EC8-40FF-8153-80B6A64CD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7340500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1</xdr:colOff>
      <xdr:row>604</xdr:row>
      <xdr:rowOff>12662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9962955" y="123703773"/>
          <a:ext cx="5472545" cy="188302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602</xdr:row>
      <xdr:rowOff>0</xdr:rowOff>
    </xdr:from>
    <xdr:to>
      <xdr:col>148</xdr:col>
      <xdr:colOff>5472545</xdr:colOff>
      <xdr:row>603</xdr:row>
      <xdr:rowOff>12663</xdr:rowOff>
    </xdr:to>
    <xdr:pic>
      <xdr:nvPicPr>
        <xdr:cNvPr id="42" name="Afbeelding 41">
          <a:extLst>
            <a:ext uri="{FF2B5EF4-FFF2-40B4-BE49-F238E27FC236}">
              <a16:creationId xmlns:a16="http://schemas.microsoft.com/office/drawing/2014/main" id="{F7ABE84C-C852-4979-A9FF-473503245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63315273" y="123703773"/>
          <a:ext cx="5472545" cy="188302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56030</xdr:colOff>
      <xdr:row>618</xdr:row>
      <xdr:rowOff>28450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9608441" y="149789029"/>
          <a:ext cx="5524500" cy="189983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614</xdr:row>
      <xdr:rowOff>0</xdr:rowOff>
    </xdr:from>
    <xdr:to>
      <xdr:col>143</xdr:col>
      <xdr:colOff>1</xdr:colOff>
      <xdr:row>615</xdr:row>
      <xdr:rowOff>7079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49962955" y="144277773"/>
          <a:ext cx="5472545" cy="187744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1</xdr:colOff>
      <xdr:row>605</xdr:row>
      <xdr:rowOff>9825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49962955" y="125574136"/>
          <a:ext cx="5472545" cy="188018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1</xdr:rowOff>
    </xdr:from>
    <xdr:to>
      <xdr:col>143</xdr:col>
      <xdr:colOff>1</xdr:colOff>
      <xdr:row>606</xdr:row>
      <xdr:rowOff>7624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9962955" y="127444501"/>
          <a:ext cx="5472545" cy="1877988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605</xdr:row>
      <xdr:rowOff>1</xdr:rowOff>
    </xdr:from>
    <xdr:to>
      <xdr:col>141</xdr:col>
      <xdr:colOff>1</xdr:colOff>
      <xdr:row>606</xdr:row>
      <xdr:rowOff>28552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31515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1847144</xdr:rowOff>
    </xdr:from>
    <xdr:to>
      <xdr:col>141</xdr:col>
      <xdr:colOff>0</xdr:colOff>
      <xdr:row>610</xdr:row>
      <xdr:rowOff>1011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3988182" y="134902735"/>
          <a:ext cx="5524500" cy="189358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607</xdr:row>
      <xdr:rowOff>0</xdr:rowOff>
    </xdr:from>
    <xdr:to>
      <xdr:col>141</xdr:col>
      <xdr:colOff>0</xdr:colOff>
      <xdr:row>608</xdr:row>
      <xdr:rowOff>34513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0</xdr:rowOff>
    </xdr:from>
    <xdr:to>
      <xdr:col>141</xdr:col>
      <xdr:colOff>1</xdr:colOff>
      <xdr:row>607</xdr:row>
      <xdr:rowOff>31940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1</xdr:rowOff>
    </xdr:from>
    <xdr:to>
      <xdr:col>141</xdr:col>
      <xdr:colOff>0</xdr:colOff>
      <xdr:row>613</xdr:row>
      <xdr:rowOff>39524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30786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30774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1</xdr:colOff>
      <xdr:row>609</xdr:row>
      <xdr:rowOff>13270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9962955" y="133055591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1</xdr:colOff>
      <xdr:row>611</xdr:row>
      <xdr:rowOff>9984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48910875" y="136493250"/>
          <a:ext cx="5476875" cy="18911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0</xdr:rowOff>
    </xdr:from>
    <xdr:to>
      <xdr:col>143</xdr:col>
      <xdr:colOff>1</xdr:colOff>
      <xdr:row>613</xdr:row>
      <xdr:rowOff>13275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9962955" y="140537045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1</xdr:rowOff>
    </xdr:from>
    <xdr:to>
      <xdr:col>143</xdr:col>
      <xdr:colOff>1</xdr:colOff>
      <xdr:row>616</xdr:row>
      <xdr:rowOff>23977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9962955" y="146148137"/>
          <a:ext cx="5472545" cy="189434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0</xdr:rowOff>
    </xdr:from>
    <xdr:to>
      <xdr:col>143</xdr:col>
      <xdr:colOff>1</xdr:colOff>
      <xdr:row>607</xdr:row>
      <xdr:rowOff>8556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9962955" y="129314864"/>
          <a:ext cx="5472545" cy="187892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1</xdr:colOff>
      <xdr:row>608</xdr:row>
      <xdr:rowOff>17651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9962955" y="131185227"/>
          <a:ext cx="5472545" cy="188800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0</xdr:rowOff>
    </xdr:from>
    <xdr:to>
      <xdr:col>143</xdr:col>
      <xdr:colOff>1</xdr:colOff>
      <xdr:row>610</xdr:row>
      <xdr:rowOff>15006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9962955" y="134925955"/>
          <a:ext cx="5472545" cy="188537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1</xdr:rowOff>
    </xdr:from>
    <xdr:to>
      <xdr:col>143</xdr:col>
      <xdr:colOff>1</xdr:colOff>
      <xdr:row>612</xdr:row>
      <xdr:rowOff>20149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9962955" y="138666683"/>
          <a:ext cx="5472545" cy="189051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613</xdr:row>
      <xdr:rowOff>0</xdr:rowOff>
    </xdr:from>
    <xdr:to>
      <xdr:col>148</xdr:col>
      <xdr:colOff>5472545</xdr:colOff>
      <xdr:row>614</xdr:row>
      <xdr:rowOff>7079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6BD9967C-C604-4793-ABEE-CA4CBF642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63315273" y="144277773"/>
          <a:ext cx="5472545" cy="1877443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603</xdr:row>
      <xdr:rowOff>0</xdr:rowOff>
    </xdr:from>
    <xdr:to>
      <xdr:col>148</xdr:col>
      <xdr:colOff>5472545</xdr:colOff>
      <xdr:row>604</xdr:row>
      <xdr:rowOff>9826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1F3F2F91-EC83-4694-9644-0D15EEF16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63315273" y="125574136"/>
          <a:ext cx="5472545" cy="188018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604</xdr:row>
      <xdr:rowOff>1</xdr:rowOff>
    </xdr:from>
    <xdr:to>
      <xdr:col>148</xdr:col>
      <xdr:colOff>5472545</xdr:colOff>
      <xdr:row>605</xdr:row>
      <xdr:rowOff>7622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933D3B8D-D6D4-4BEA-A60D-450BF854C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63315273" y="127444501"/>
          <a:ext cx="5472545" cy="1877988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605</xdr:row>
      <xdr:rowOff>1</xdr:rowOff>
    </xdr:from>
    <xdr:to>
      <xdr:col>147</xdr:col>
      <xdr:colOff>1</xdr:colOff>
      <xdr:row>606</xdr:row>
      <xdr:rowOff>28552</xdr:rowOff>
    </xdr:to>
    <xdr:pic>
      <xdr:nvPicPr>
        <xdr:cNvPr id="20" name="Afbeelding 19">
          <a:extLst>
            <a:ext uri="{FF2B5EF4-FFF2-40B4-BE49-F238E27FC236}">
              <a16:creationId xmlns:a16="http://schemas.microsoft.com/office/drawing/2014/main" id="{554FFD6F-E287-4E3F-ABFC-6C77964BE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57340501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604</xdr:row>
      <xdr:rowOff>0</xdr:rowOff>
    </xdr:from>
    <xdr:to>
      <xdr:col>147</xdr:col>
      <xdr:colOff>0</xdr:colOff>
      <xdr:row>605</xdr:row>
      <xdr:rowOff>31515</xdr:rowOff>
    </xdr:to>
    <xdr:pic>
      <xdr:nvPicPr>
        <xdr:cNvPr id="23" name="Afbeelding 22">
          <a:extLst>
            <a:ext uri="{FF2B5EF4-FFF2-40B4-BE49-F238E27FC236}">
              <a16:creationId xmlns:a16="http://schemas.microsoft.com/office/drawing/2014/main" id="{8C619B26-1806-4D03-ACE5-2CC68D676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57340500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614</xdr:row>
      <xdr:rowOff>0</xdr:rowOff>
    </xdr:from>
    <xdr:to>
      <xdr:col>147</xdr:col>
      <xdr:colOff>0</xdr:colOff>
      <xdr:row>615</xdr:row>
      <xdr:rowOff>30097</xdr:rowOff>
    </xdr:to>
    <xdr:pic>
      <xdr:nvPicPr>
        <xdr:cNvPr id="24" name="Afbeelding 23">
          <a:extLst>
            <a:ext uri="{FF2B5EF4-FFF2-40B4-BE49-F238E27FC236}">
              <a16:creationId xmlns:a16="http://schemas.microsoft.com/office/drawing/2014/main" id="{77053C94-C24D-4042-8F59-73D28BAEE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57340500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611</xdr:row>
      <xdr:rowOff>0</xdr:rowOff>
    </xdr:from>
    <xdr:to>
      <xdr:col>147</xdr:col>
      <xdr:colOff>0</xdr:colOff>
      <xdr:row>612</xdr:row>
      <xdr:rowOff>33219</xdr:rowOff>
    </xdr:to>
    <xdr:pic>
      <xdr:nvPicPr>
        <xdr:cNvPr id="28" name="Afbeelding 27">
          <a:extLst>
            <a:ext uri="{FF2B5EF4-FFF2-40B4-BE49-F238E27FC236}">
              <a16:creationId xmlns:a16="http://schemas.microsoft.com/office/drawing/2014/main" id="{A835C1C5-D118-481A-A9E2-3266A5FA6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57340500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608</xdr:row>
      <xdr:rowOff>1847144</xdr:rowOff>
    </xdr:from>
    <xdr:to>
      <xdr:col>147</xdr:col>
      <xdr:colOff>0</xdr:colOff>
      <xdr:row>610</xdr:row>
      <xdr:rowOff>1011</xdr:rowOff>
    </xdr:to>
    <xdr:pic>
      <xdr:nvPicPr>
        <xdr:cNvPr id="30" name="Afbeelding 29">
          <a:extLst>
            <a:ext uri="{FF2B5EF4-FFF2-40B4-BE49-F238E27FC236}">
              <a16:creationId xmlns:a16="http://schemas.microsoft.com/office/drawing/2014/main" id="{47406C15-2C6F-4B1F-BF44-C4C653484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57340500" y="134902735"/>
          <a:ext cx="5524500" cy="1893583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607</xdr:row>
      <xdr:rowOff>0</xdr:rowOff>
    </xdr:from>
    <xdr:to>
      <xdr:col>147</xdr:col>
      <xdr:colOff>0</xdr:colOff>
      <xdr:row>608</xdr:row>
      <xdr:rowOff>34513</xdr:rowOff>
    </xdr:to>
    <xdr:pic>
      <xdr:nvPicPr>
        <xdr:cNvPr id="39" name="Afbeelding 38">
          <a:extLst>
            <a:ext uri="{FF2B5EF4-FFF2-40B4-BE49-F238E27FC236}">
              <a16:creationId xmlns:a16="http://schemas.microsoft.com/office/drawing/2014/main" id="{D2167833-33BD-4AC8-8B76-19502910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57340500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606</xdr:row>
      <xdr:rowOff>0</xdr:rowOff>
    </xdr:from>
    <xdr:to>
      <xdr:col>147</xdr:col>
      <xdr:colOff>1</xdr:colOff>
      <xdr:row>607</xdr:row>
      <xdr:rowOff>31940</xdr:rowOff>
    </xdr:to>
    <xdr:pic>
      <xdr:nvPicPr>
        <xdr:cNvPr id="40" name="Afbeelding 39">
          <a:extLst>
            <a:ext uri="{FF2B5EF4-FFF2-40B4-BE49-F238E27FC236}">
              <a16:creationId xmlns:a16="http://schemas.microsoft.com/office/drawing/2014/main" id="{666089C0-9437-4589-A359-928AA3AE5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57340501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615</xdr:row>
      <xdr:rowOff>0</xdr:rowOff>
    </xdr:from>
    <xdr:to>
      <xdr:col>147</xdr:col>
      <xdr:colOff>0</xdr:colOff>
      <xdr:row>616</xdr:row>
      <xdr:rowOff>32061</xdr:rowOff>
    </xdr:to>
    <xdr:pic>
      <xdr:nvPicPr>
        <xdr:cNvPr id="46" name="Afbeelding 45">
          <a:extLst>
            <a:ext uri="{FF2B5EF4-FFF2-40B4-BE49-F238E27FC236}">
              <a16:creationId xmlns:a16="http://schemas.microsoft.com/office/drawing/2014/main" id="{89B8E9CE-4B36-49F6-B379-17BEFCBE8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57340500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612</xdr:row>
      <xdr:rowOff>1</xdr:rowOff>
    </xdr:from>
    <xdr:to>
      <xdr:col>147</xdr:col>
      <xdr:colOff>0</xdr:colOff>
      <xdr:row>613</xdr:row>
      <xdr:rowOff>39524</xdr:rowOff>
    </xdr:to>
    <xdr:pic>
      <xdr:nvPicPr>
        <xdr:cNvPr id="47" name="Afbeelding 46">
          <a:extLst>
            <a:ext uri="{FF2B5EF4-FFF2-40B4-BE49-F238E27FC236}">
              <a16:creationId xmlns:a16="http://schemas.microsoft.com/office/drawing/2014/main" id="{6E1D3029-66C7-45AD-AF60-89BCAD160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57340500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610</xdr:row>
      <xdr:rowOff>0</xdr:rowOff>
    </xdr:from>
    <xdr:to>
      <xdr:col>147</xdr:col>
      <xdr:colOff>0</xdr:colOff>
      <xdr:row>611</xdr:row>
      <xdr:rowOff>30786</xdr:rowOff>
    </xdr:to>
    <xdr:pic>
      <xdr:nvPicPr>
        <xdr:cNvPr id="50" name="Afbeelding 49">
          <a:extLst>
            <a:ext uri="{FF2B5EF4-FFF2-40B4-BE49-F238E27FC236}">
              <a16:creationId xmlns:a16="http://schemas.microsoft.com/office/drawing/2014/main" id="{0739F1A4-888D-4AFC-A6B9-FB3354987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57340500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608</xdr:row>
      <xdr:rowOff>0</xdr:rowOff>
    </xdr:from>
    <xdr:to>
      <xdr:col>147</xdr:col>
      <xdr:colOff>0</xdr:colOff>
      <xdr:row>609</xdr:row>
      <xdr:rowOff>30774</xdr:rowOff>
    </xdr:to>
    <xdr:pic>
      <xdr:nvPicPr>
        <xdr:cNvPr id="52" name="Afbeelding 51">
          <a:extLst>
            <a:ext uri="{FF2B5EF4-FFF2-40B4-BE49-F238E27FC236}">
              <a16:creationId xmlns:a16="http://schemas.microsoft.com/office/drawing/2014/main" id="{2DFFF6DE-DE37-4BBB-9C3C-2986639AD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57340500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607</xdr:row>
      <xdr:rowOff>0</xdr:rowOff>
    </xdr:from>
    <xdr:to>
      <xdr:col>148</xdr:col>
      <xdr:colOff>5472545</xdr:colOff>
      <xdr:row>608</xdr:row>
      <xdr:rowOff>13268</xdr:rowOff>
    </xdr:to>
    <xdr:pic>
      <xdr:nvPicPr>
        <xdr:cNvPr id="53" name="Afbeelding 52">
          <a:extLst>
            <a:ext uri="{FF2B5EF4-FFF2-40B4-BE49-F238E27FC236}">
              <a16:creationId xmlns:a16="http://schemas.microsoft.com/office/drawing/2014/main" id="{AF290A3A-B3A2-4C12-9894-F8B166979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63315273" y="133055591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609</xdr:row>
      <xdr:rowOff>0</xdr:rowOff>
    </xdr:from>
    <xdr:to>
      <xdr:col>148</xdr:col>
      <xdr:colOff>5472545</xdr:colOff>
      <xdr:row>610</xdr:row>
      <xdr:rowOff>9985</xdr:rowOff>
    </xdr:to>
    <xdr:pic>
      <xdr:nvPicPr>
        <xdr:cNvPr id="54" name="Afbeelding 53">
          <a:extLst>
            <a:ext uri="{FF2B5EF4-FFF2-40B4-BE49-F238E27FC236}">
              <a16:creationId xmlns:a16="http://schemas.microsoft.com/office/drawing/2014/main" id="{81366FD3-77EF-45F7-85C4-139248EB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63315273" y="136796318"/>
          <a:ext cx="5472545" cy="188034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611</xdr:row>
      <xdr:rowOff>0</xdr:rowOff>
    </xdr:from>
    <xdr:to>
      <xdr:col>148</xdr:col>
      <xdr:colOff>5472545</xdr:colOff>
      <xdr:row>612</xdr:row>
      <xdr:rowOff>26881</xdr:rowOff>
    </xdr:to>
    <xdr:pic>
      <xdr:nvPicPr>
        <xdr:cNvPr id="55" name="Afbeelding 54">
          <a:extLst>
            <a:ext uri="{FF2B5EF4-FFF2-40B4-BE49-F238E27FC236}">
              <a16:creationId xmlns:a16="http://schemas.microsoft.com/office/drawing/2014/main" id="{BFC7D60D-8DCE-493F-AC80-0C76CE0AB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63315273" y="140537045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614</xdr:row>
      <xdr:rowOff>1</xdr:rowOff>
    </xdr:from>
    <xdr:to>
      <xdr:col>148</xdr:col>
      <xdr:colOff>5472545</xdr:colOff>
      <xdr:row>615</xdr:row>
      <xdr:rowOff>23976</xdr:rowOff>
    </xdr:to>
    <xdr:pic>
      <xdr:nvPicPr>
        <xdr:cNvPr id="59" name="Afbeelding 58">
          <a:extLst>
            <a:ext uri="{FF2B5EF4-FFF2-40B4-BE49-F238E27FC236}">
              <a16:creationId xmlns:a16="http://schemas.microsoft.com/office/drawing/2014/main" id="{143C285D-34C2-4EE9-957C-9B6A8A8C8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63315273" y="146148137"/>
          <a:ext cx="5472545" cy="189434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605</xdr:row>
      <xdr:rowOff>0</xdr:rowOff>
    </xdr:from>
    <xdr:to>
      <xdr:col>148</xdr:col>
      <xdr:colOff>5472545</xdr:colOff>
      <xdr:row>606</xdr:row>
      <xdr:rowOff>8556</xdr:rowOff>
    </xdr:to>
    <xdr:pic>
      <xdr:nvPicPr>
        <xdr:cNvPr id="60" name="Afbeelding 59">
          <a:extLst>
            <a:ext uri="{FF2B5EF4-FFF2-40B4-BE49-F238E27FC236}">
              <a16:creationId xmlns:a16="http://schemas.microsoft.com/office/drawing/2014/main" id="{1A3A9885-6350-46D3-84B5-D8347303B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63315273" y="129314864"/>
          <a:ext cx="5472545" cy="187892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606</xdr:row>
      <xdr:rowOff>0</xdr:rowOff>
    </xdr:from>
    <xdr:to>
      <xdr:col>148</xdr:col>
      <xdr:colOff>5472545</xdr:colOff>
      <xdr:row>607</xdr:row>
      <xdr:rowOff>17653</xdr:rowOff>
    </xdr:to>
    <xdr:pic>
      <xdr:nvPicPr>
        <xdr:cNvPr id="61" name="Afbeelding 60">
          <a:extLst>
            <a:ext uri="{FF2B5EF4-FFF2-40B4-BE49-F238E27FC236}">
              <a16:creationId xmlns:a16="http://schemas.microsoft.com/office/drawing/2014/main" id="{DF08F16B-19A1-4BB0-B05E-61A4A7E6F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63315273" y="131185227"/>
          <a:ext cx="5472545" cy="1888009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608</xdr:row>
      <xdr:rowOff>0</xdr:rowOff>
    </xdr:from>
    <xdr:to>
      <xdr:col>148</xdr:col>
      <xdr:colOff>5472545</xdr:colOff>
      <xdr:row>609</xdr:row>
      <xdr:rowOff>15006</xdr:rowOff>
    </xdr:to>
    <xdr:pic>
      <xdr:nvPicPr>
        <xdr:cNvPr id="62" name="Afbeelding 61">
          <a:extLst>
            <a:ext uri="{FF2B5EF4-FFF2-40B4-BE49-F238E27FC236}">
              <a16:creationId xmlns:a16="http://schemas.microsoft.com/office/drawing/2014/main" id="{CE04B765-6BB8-4CE6-81A4-3E3A2EE02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63315273" y="134925955"/>
          <a:ext cx="5472545" cy="188537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610</xdr:row>
      <xdr:rowOff>1</xdr:rowOff>
    </xdr:from>
    <xdr:to>
      <xdr:col>148</xdr:col>
      <xdr:colOff>5472545</xdr:colOff>
      <xdr:row>611</xdr:row>
      <xdr:rowOff>6542</xdr:rowOff>
    </xdr:to>
    <xdr:pic>
      <xdr:nvPicPr>
        <xdr:cNvPr id="63" name="Afbeelding 62">
          <a:extLst>
            <a:ext uri="{FF2B5EF4-FFF2-40B4-BE49-F238E27FC236}">
              <a16:creationId xmlns:a16="http://schemas.microsoft.com/office/drawing/2014/main" id="{7E719D71-B22F-4077-8FFF-9BE26D143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63315273" y="138666683"/>
          <a:ext cx="5472545" cy="189051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616</xdr:row>
      <xdr:rowOff>0</xdr:rowOff>
    </xdr:from>
    <xdr:to>
      <xdr:col>149</xdr:col>
      <xdr:colOff>0</xdr:colOff>
      <xdr:row>617</xdr:row>
      <xdr:rowOff>28449</xdr:rowOff>
    </xdr:to>
    <xdr:pic>
      <xdr:nvPicPr>
        <xdr:cNvPr id="64" name="Afbeelding 63">
          <a:extLst>
            <a:ext uri="{FF2B5EF4-FFF2-40B4-BE49-F238E27FC236}">
              <a16:creationId xmlns:a16="http://schemas.microsoft.com/office/drawing/2014/main" id="{5FDB4759-CFEA-421A-A4DF-BB16718DF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62977059" y="149789029"/>
          <a:ext cx="5524500" cy="1899833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619</xdr:row>
      <xdr:rowOff>0</xdr:rowOff>
    </xdr:from>
    <xdr:to>
      <xdr:col>141</xdr:col>
      <xdr:colOff>1</xdr:colOff>
      <xdr:row>620</xdr:row>
      <xdr:rowOff>24120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619</xdr:row>
      <xdr:rowOff>0</xdr:rowOff>
    </xdr:from>
    <xdr:to>
      <xdr:col>147</xdr:col>
      <xdr:colOff>0</xdr:colOff>
      <xdr:row>620</xdr:row>
      <xdr:rowOff>24120</xdr:rowOff>
    </xdr:to>
    <xdr:pic>
      <xdr:nvPicPr>
        <xdr:cNvPr id="67" name="Afbeelding 66">
          <a:extLst>
            <a:ext uri="{FF2B5EF4-FFF2-40B4-BE49-F238E27FC236}">
              <a16:creationId xmlns:a16="http://schemas.microsoft.com/office/drawing/2014/main" id="{9C552356-5A82-440B-A036-94587B1F4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6993118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0</xdr:rowOff>
    </xdr:from>
    <xdr:to>
      <xdr:col>143</xdr:col>
      <xdr:colOff>1</xdr:colOff>
      <xdr:row>620</xdr:row>
      <xdr:rowOff>12066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618</xdr:row>
      <xdr:rowOff>0</xdr:rowOff>
    </xdr:from>
    <xdr:to>
      <xdr:col>148</xdr:col>
      <xdr:colOff>5470071</xdr:colOff>
      <xdr:row>619</xdr:row>
      <xdr:rowOff>12065</xdr:rowOff>
    </xdr:to>
    <xdr:pic>
      <xdr:nvPicPr>
        <xdr:cNvPr id="70" name="Afbeelding 69">
          <a:extLst>
            <a:ext uri="{FF2B5EF4-FFF2-40B4-BE49-F238E27FC236}">
              <a16:creationId xmlns:a16="http://schemas.microsoft.com/office/drawing/2014/main" id="{175FB372-1DB3-4C6D-8D28-C5F0A7415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3722250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143</xdr:col>
      <xdr:colOff>1</xdr:colOff>
      <xdr:row>621</xdr:row>
      <xdr:rowOff>4149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619</xdr:row>
      <xdr:rowOff>0</xdr:rowOff>
    </xdr:from>
    <xdr:to>
      <xdr:col>148</xdr:col>
      <xdr:colOff>5470071</xdr:colOff>
      <xdr:row>620</xdr:row>
      <xdr:rowOff>4150</xdr:rowOff>
    </xdr:to>
    <xdr:pic>
      <xdr:nvPicPr>
        <xdr:cNvPr id="68" name="Afbeelding 67">
          <a:extLst>
            <a:ext uri="{FF2B5EF4-FFF2-40B4-BE49-F238E27FC236}">
              <a16:creationId xmlns:a16="http://schemas.microsoft.com/office/drawing/2014/main" id="{CF28D5D7-6A98-4178-AF54-CF812167E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63722250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1</xdr:rowOff>
    </xdr:from>
    <xdr:to>
      <xdr:col>143</xdr:col>
      <xdr:colOff>1</xdr:colOff>
      <xdr:row>622</xdr:row>
      <xdr:rowOff>17469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620</xdr:row>
      <xdr:rowOff>0</xdr:rowOff>
    </xdr:from>
    <xdr:to>
      <xdr:col>148</xdr:col>
      <xdr:colOff>5470071</xdr:colOff>
      <xdr:row>621</xdr:row>
      <xdr:rowOff>17469</xdr:rowOff>
    </xdr:to>
    <xdr:pic>
      <xdr:nvPicPr>
        <xdr:cNvPr id="74" name="Afbeelding 73">
          <a:extLst>
            <a:ext uri="{FF2B5EF4-FFF2-40B4-BE49-F238E27FC236}">
              <a16:creationId xmlns:a16="http://schemas.microsoft.com/office/drawing/2014/main" id="{3F5A7535-2ED1-4693-AF51-7192DB5BB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63722250" y="155502429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31451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621</xdr:row>
      <xdr:rowOff>0</xdr:rowOff>
    </xdr:from>
    <xdr:to>
      <xdr:col>147</xdr:col>
      <xdr:colOff>0</xdr:colOff>
      <xdr:row>622</xdr:row>
      <xdr:rowOff>31451</xdr:rowOff>
    </xdr:to>
    <xdr:pic>
      <xdr:nvPicPr>
        <xdr:cNvPr id="76" name="Afbeelding 75">
          <a:extLst>
            <a:ext uri="{FF2B5EF4-FFF2-40B4-BE49-F238E27FC236}">
              <a16:creationId xmlns:a16="http://schemas.microsoft.com/office/drawing/2014/main" id="{B107CD84-206C-4C15-ABB0-ADBC92099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57735107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620</xdr:row>
      <xdr:rowOff>0</xdr:rowOff>
    </xdr:from>
    <xdr:to>
      <xdr:col>141</xdr:col>
      <xdr:colOff>0</xdr:colOff>
      <xdr:row>621</xdr:row>
      <xdr:rowOff>34979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4372893" y="153638250"/>
          <a:ext cx="5524500" cy="189915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620</xdr:row>
      <xdr:rowOff>0</xdr:rowOff>
    </xdr:from>
    <xdr:to>
      <xdr:col>147</xdr:col>
      <xdr:colOff>0</xdr:colOff>
      <xdr:row>621</xdr:row>
      <xdr:rowOff>34979</xdr:rowOff>
    </xdr:to>
    <xdr:pic>
      <xdr:nvPicPr>
        <xdr:cNvPr id="78" name="Afbeelding 77">
          <a:extLst>
            <a:ext uri="{FF2B5EF4-FFF2-40B4-BE49-F238E27FC236}">
              <a16:creationId xmlns:a16="http://schemas.microsoft.com/office/drawing/2014/main" id="{25453269-E610-49BF-8022-F4AA43F94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57735107" y="153638250"/>
          <a:ext cx="5524500" cy="18991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6556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9703182" y="118179273"/>
          <a:ext cx="5472545" cy="18769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0</xdr:rowOff>
    </xdr:from>
    <xdr:to>
      <xdr:col>143</xdr:col>
      <xdr:colOff>0</xdr:colOff>
      <xdr:row>603</xdr:row>
      <xdr:rowOff>9979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49703182" y="120049636"/>
          <a:ext cx="5472545" cy="188034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30807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601</xdr:row>
      <xdr:rowOff>0</xdr:rowOff>
    </xdr:from>
    <xdr:to>
      <xdr:col>141</xdr:col>
      <xdr:colOff>1</xdr:colOff>
      <xdr:row>602</xdr:row>
      <xdr:rowOff>35501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3728410" y="118179273"/>
          <a:ext cx="5524500" cy="1905863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600</xdr:row>
      <xdr:rowOff>0</xdr:rowOff>
    </xdr:from>
    <xdr:to>
      <xdr:col>148</xdr:col>
      <xdr:colOff>5472545</xdr:colOff>
      <xdr:row>601</xdr:row>
      <xdr:rowOff>6556</xdr:rowOff>
    </xdr:to>
    <xdr:pic>
      <xdr:nvPicPr>
        <xdr:cNvPr id="87" name="Afbeelding 86">
          <a:extLst>
            <a:ext uri="{FF2B5EF4-FFF2-40B4-BE49-F238E27FC236}">
              <a16:creationId xmlns:a16="http://schemas.microsoft.com/office/drawing/2014/main" id="{C97D58A9-8EFA-4F30-B852-158EE165D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63055500" y="118179273"/>
          <a:ext cx="5472545" cy="1876918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601</xdr:row>
      <xdr:rowOff>0</xdr:rowOff>
    </xdr:from>
    <xdr:to>
      <xdr:col>148</xdr:col>
      <xdr:colOff>5472545</xdr:colOff>
      <xdr:row>602</xdr:row>
      <xdr:rowOff>9978</xdr:rowOff>
    </xdr:to>
    <xdr:pic>
      <xdr:nvPicPr>
        <xdr:cNvPr id="89" name="Afbeelding 88">
          <a:extLst>
            <a:ext uri="{FF2B5EF4-FFF2-40B4-BE49-F238E27FC236}">
              <a16:creationId xmlns:a16="http://schemas.microsoft.com/office/drawing/2014/main" id="{A95D67FD-A575-4395-A33A-A720B6133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63055500" y="120049636"/>
          <a:ext cx="5472545" cy="1880345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602</xdr:row>
      <xdr:rowOff>0</xdr:rowOff>
    </xdr:from>
    <xdr:to>
      <xdr:col>147</xdr:col>
      <xdr:colOff>0</xdr:colOff>
      <xdr:row>603</xdr:row>
      <xdr:rowOff>30807</xdr:rowOff>
    </xdr:to>
    <xdr:pic>
      <xdr:nvPicPr>
        <xdr:cNvPr id="101" name="Afbeelding 100">
          <a:extLst>
            <a:ext uri="{FF2B5EF4-FFF2-40B4-BE49-F238E27FC236}">
              <a16:creationId xmlns:a16="http://schemas.microsoft.com/office/drawing/2014/main" id="{0AE8C302-5E9F-47F1-AE91-ECBE11FAD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57080727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601</xdr:row>
      <xdr:rowOff>0</xdr:rowOff>
    </xdr:from>
    <xdr:to>
      <xdr:col>147</xdr:col>
      <xdr:colOff>1</xdr:colOff>
      <xdr:row>602</xdr:row>
      <xdr:rowOff>35501</xdr:rowOff>
    </xdr:to>
    <xdr:pic>
      <xdr:nvPicPr>
        <xdr:cNvPr id="102" name="Afbeelding 101">
          <a:extLst>
            <a:ext uri="{FF2B5EF4-FFF2-40B4-BE49-F238E27FC236}">
              <a16:creationId xmlns:a16="http://schemas.microsoft.com/office/drawing/2014/main" id="{2C3A1E57-FB44-479C-91DD-795C788EF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57080728" y="118179273"/>
          <a:ext cx="5524500" cy="1905863"/>
        </a:xfrm>
        <a:prstGeom prst="rect">
          <a:avLst/>
        </a:prstGeom>
      </xdr:spPr>
    </xdr:pic>
    <xdr:clientData/>
  </xdr:twoCellAnchor>
  <xdr:twoCellAnchor editAs="oneCell">
    <xdr:from>
      <xdr:col>148</xdr:col>
      <xdr:colOff>898073</xdr:colOff>
      <xdr:row>183</xdr:row>
      <xdr:rowOff>122464</xdr:rowOff>
    </xdr:from>
    <xdr:to>
      <xdr:col>160</xdr:col>
      <xdr:colOff>496707</xdr:colOff>
      <xdr:row>231</xdr:row>
      <xdr:rowOff>81643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86219776-EB4A-8C63-0CDD-A76C56BEF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64375394" y="35514643"/>
          <a:ext cx="24227563" cy="80826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JV625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7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" style="3" customWidth="1"/>
    <col min="144" max="144" width="6" style="3" customWidth="1"/>
    <col min="145" max="145" width="15.7109375" style="3" bestFit="1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240" s="4" customFormat="1" ht="15.75" thickBot="1" x14ac:dyDescent="0.3">
      <c r="A1" s="389" t="str">
        <f ca="1">IF(A2="",EX116,EW116)</f>
        <v>Language:</v>
      </c>
      <c r="B1" s="389"/>
      <c r="C1" s="389"/>
      <c r="D1" s="389"/>
      <c r="E1" s="373" t="str">
        <f>IF(A2="","!","")</f>
        <v/>
      </c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406" t="str">
        <f ca="1">IF(H111&gt;0,"",IF(CN66&lt;&gt;0,EW144,""))</f>
        <v/>
      </c>
      <c r="X1" s="406"/>
      <c r="Y1" s="406"/>
      <c r="Z1" s="406"/>
      <c r="AA1" s="406"/>
      <c r="AB1" s="406"/>
      <c r="AC1" s="406"/>
      <c r="AD1" s="406"/>
      <c r="AE1" s="406"/>
      <c r="AF1" s="406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91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</row>
    <row r="2" spans="1:240" s="4" customFormat="1" x14ac:dyDescent="0.25">
      <c r="A2" s="486" t="s">
        <v>152</v>
      </c>
      <c r="B2" s="486"/>
      <c r="C2" s="486"/>
      <c r="D2" s="486"/>
      <c r="E2" s="373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176"/>
      <c r="X2" s="177"/>
      <c r="Y2" s="177"/>
      <c r="Z2" s="177"/>
      <c r="AA2" s="178"/>
      <c r="AB2" s="177"/>
      <c r="AC2" s="178"/>
      <c r="AD2" s="178"/>
      <c r="AE2" s="177"/>
      <c r="AF2" s="179"/>
      <c r="AG2" s="80"/>
      <c r="AH2" s="80"/>
      <c r="AI2" s="80"/>
      <c r="AJ2" s="80"/>
      <c r="AK2" s="80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</row>
    <row r="3" spans="1:240" s="4" customFormat="1" ht="15" customHeight="1" x14ac:dyDescent="0.25">
      <c r="A3" s="180"/>
      <c r="B3" s="180"/>
      <c r="C3" s="180"/>
      <c r="D3" s="1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376" t="str">
        <f ca="1">IF($AD$3="","",EW93)</f>
        <v>Number of hooks</v>
      </c>
      <c r="X3" s="377"/>
      <c r="Y3" s="377"/>
      <c r="Z3" s="377"/>
      <c r="AA3" s="389" t="str">
        <f ca="1">IF(AD3="","",IF(E19=BA115,"",IF(J56=1,AV112,IF(J56=2,AV114,IF(J56=3,AV116,"")))))</f>
        <v/>
      </c>
      <c r="AB3" s="389"/>
      <c r="AC3" s="389"/>
      <c r="AD3" s="389">
        <f ca="1">IF($H$111=0,CH74,"")</f>
        <v>14</v>
      </c>
      <c r="AE3" s="389"/>
      <c r="AF3" s="182"/>
      <c r="AG3" s="183"/>
      <c r="AH3" s="80"/>
      <c r="AI3" s="80"/>
      <c r="AJ3" s="80"/>
      <c r="AK3" s="80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</row>
    <row r="4" spans="1:240" s="4" customFormat="1" ht="15" customHeight="1" x14ac:dyDescent="0.25">
      <c r="A4" s="80"/>
      <c r="B4" s="80"/>
      <c r="C4" s="80"/>
      <c r="D4" s="80"/>
      <c r="E4" s="80"/>
      <c r="F4" s="184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388" t="str">
        <f ca="1">IF($AD$3="","",EW94)</f>
        <v xml:space="preserve"> in curtain needed</v>
      </c>
      <c r="X4" s="389"/>
      <c r="Y4" s="389"/>
      <c r="Z4" s="389"/>
      <c r="AA4" s="389" t="str">
        <f ca="1">IF(H111=1,"",IF(E19=BA115,"",IF(J56=0,"",IF(J56=1,AV113,IF(J56=2,AV115,IF(J56=3,AV117,""))))))</f>
        <v/>
      </c>
      <c r="AB4" s="389"/>
      <c r="AC4" s="389"/>
      <c r="AD4" s="389" t="str">
        <f ca="1">IF($E$19=BA116,IF(AD3="","",CJ74),"")</f>
        <v/>
      </c>
      <c r="AE4" s="389"/>
      <c r="AF4" s="182"/>
      <c r="AG4" s="183"/>
      <c r="AH4" s="80"/>
      <c r="AI4" s="80"/>
      <c r="AJ4" s="80"/>
      <c r="AK4" s="80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IF4" s="26"/>
    </row>
    <row r="5" spans="1:240" s="4" customFormat="1" ht="15" customHeight="1" x14ac:dyDescent="0.25">
      <c r="A5" s="80"/>
      <c r="B5" s="80"/>
      <c r="C5" s="80"/>
      <c r="D5" s="80"/>
      <c r="E5" s="80"/>
      <c r="F5" s="184"/>
      <c r="G5" s="175"/>
      <c r="H5" s="175"/>
      <c r="I5" s="175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183"/>
      <c r="X5" s="185"/>
      <c r="Y5" s="185"/>
      <c r="Z5" s="185"/>
      <c r="AA5" s="186"/>
      <c r="AB5" s="186"/>
      <c r="AC5" s="186"/>
      <c r="AD5" s="187"/>
      <c r="AE5" s="185"/>
      <c r="AF5" s="182"/>
      <c r="AG5" s="80"/>
      <c r="AH5" s="80"/>
      <c r="AI5" s="80"/>
      <c r="AJ5" s="80"/>
      <c r="AK5" s="80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</row>
    <row r="6" spans="1:240" s="4" customFormat="1" ht="15" customHeight="1" x14ac:dyDescent="0.25">
      <c r="A6" s="80"/>
      <c r="B6" s="80"/>
      <c r="C6" s="80"/>
      <c r="D6" s="80"/>
      <c r="E6" s="80"/>
      <c r="F6" s="80"/>
      <c r="G6" s="80"/>
      <c r="H6" s="80"/>
      <c r="I6" s="410" t="s">
        <v>6</v>
      </c>
      <c r="J6" s="410"/>
      <c r="K6" s="410"/>
      <c r="L6" s="410"/>
      <c r="M6" s="410"/>
      <c r="N6" s="410"/>
      <c r="O6" s="410"/>
      <c r="P6" s="410"/>
      <c r="Q6" s="410"/>
      <c r="R6" s="410"/>
      <c r="S6" s="80"/>
      <c r="T6" s="80"/>
      <c r="U6" s="80"/>
      <c r="V6" s="80"/>
      <c r="W6" s="183"/>
      <c r="X6" s="80"/>
      <c r="Y6" s="80"/>
      <c r="Z6" s="80"/>
      <c r="AA6" s="175"/>
      <c r="AB6" s="175"/>
      <c r="AC6" s="175"/>
      <c r="AD6" s="167"/>
      <c r="AE6" s="80"/>
      <c r="AF6" s="182"/>
      <c r="AG6" s="188"/>
      <c r="AH6" s="80"/>
      <c r="AI6" s="167"/>
      <c r="AJ6" s="80"/>
      <c r="AK6" s="80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  <c r="BE6" s="92"/>
      <c r="BF6" s="92"/>
      <c r="BG6" s="92"/>
      <c r="BH6" s="92"/>
      <c r="BI6" s="92"/>
      <c r="BJ6" s="92"/>
      <c r="BK6" s="92"/>
      <c r="BL6" s="92"/>
      <c r="BM6" s="92"/>
      <c r="BN6" s="92"/>
      <c r="BO6" s="92"/>
      <c r="BP6" s="92"/>
      <c r="BQ6" s="92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</row>
    <row r="7" spans="1:240" s="4" customFormat="1" ht="15" customHeight="1" x14ac:dyDescent="0.25">
      <c r="A7" s="80"/>
      <c r="B7" s="80"/>
      <c r="C7" s="80"/>
      <c r="D7" s="80"/>
      <c r="E7" s="80"/>
      <c r="F7" s="80"/>
      <c r="G7" s="80"/>
      <c r="H7" s="80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80"/>
      <c r="T7" s="80"/>
      <c r="U7" s="80"/>
      <c r="V7" s="80"/>
      <c r="W7" s="388" t="str">
        <f ca="1">IF($AD$3="","",EW95)</f>
        <v>Number of</v>
      </c>
      <c r="X7" s="389"/>
      <c r="Y7" s="389"/>
      <c r="Z7" s="389"/>
      <c r="AA7" s="389" t="str">
        <f ca="1">IF(AA3 ="","",AA3)</f>
        <v/>
      </c>
      <c r="AB7" s="389"/>
      <c r="AC7" s="389"/>
      <c r="AD7" s="389">
        <f ca="1">IF(AD3="","",CH72)</f>
        <v>13</v>
      </c>
      <c r="AE7" s="389"/>
      <c r="AF7" s="182"/>
      <c r="AG7" s="189"/>
      <c r="AH7" s="81"/>
      <c r="AI7" s="80"/>
      <c r="AJ7" s="80"/>
      <c r="AK7" s="80"/>
      <c r="AL7" s="80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</row>
    <row r="8" spans="1:240" s="4" customFormat="1" ht="15" customHeight="1" x14ac:dyDescent="0.25">
      <c r="A8" s="80"/>
      <c r="B8" s="80"/>
      <c r="C8" s="80"/>
      <c r="D8" s="80"/>
      <c r="E8" s="80"/>
      <c r="F8" s="80"/>
      <c r="G8" s="80"/>
      <c r="H8" s="80"/>
      <c r="I8" s="410"/>
      <c r="J8" s="410"/>
      <c r="K8" s="410"/>
      <c r="L8" s="410"/>
      <c r="M8" s="410"/>
      <c r="N8" s="410"/>
      <c r="O8" s="410"/>
      <c r="P8" s="410"/>
      <c r="Q8" s="410"/>
      <c r="R8" s="410"/>
      <c r="S8" s="80"/>
      <c r="T8" s="80"/>
      <c r="U8" s="80"/>
      <c r="V8" s="80"/>
      <c r="W8" s="388" t="str">
        <f ca="1">IF($AD$3="","",EW96)</f>
        <v>carriers needed**</v>
      </c>
      <c r="X8" s="389"/>
      <c r="Y8" s="389"/>
      <c r="Z8" s="389"/>
      <c r="AA8" s="389" t="str">
        <f ca="1">IF(AA4 ="","",AA4)</f>
        <v/>
      </c>
      <c r="AB8" s="389"/>
      <c r="AC8" s="389"/>
      <c r="AD8" s="389" t="str">
        <f ca="1">IF($E$19=BA116,IF(AD3="","",CJ72),"")</f>
        <v/>
      </c>
      <c r="AE8" s="389"/>
      <c r="AF8" s="182"/>
      <c r="AG8" s="189"/>
      <c r="AH8" s="81"/>
      <c r="AI8" s="80"/>
      <c r="AJ8" s="80"/>
      <c r="AK8" s="80"/>
      <c r="AL8" s="80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92"/>
      <c r="BH8" s="92"/>
      <c r="BI8" s="92"/>
      <c r="BJ8" s="92"/>
      <c r="BK8" s="92"/>
      <c r="BL8" s="92"/>
      <c r="BM8" s="92"/>
      <c r="BN8" s="92"/>
      <c r="BO8" s="92"/>
      <c r="BP8" s="92"/>
      <c r="BQ8" s="92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</row>
    <row r="9" spans="1:240" s="4" customFormat="1" ht="15" customHeight="1" x14ac:dyDescent="0.25">
      <c r="A9" s="80"/>
      <c r="B9" s="80"/>
      <c r="C9" s="80"/>
      <c r="D9" s="80"/>
      <c r="E9" s="80"/>
      <c r="F9" s="80"/>
      <c r="G9" s="80"/>
      <c r="H9" s="8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80"/>
      <c r="T9" s="80"/>
      <c r="U9" s="80"/>
      <c r="V9" s="80"/>
      <c r="W9" s="183"/>
      <c r="X9" s="185"/>
      <c r="Y9" s="185"/>
      <c r="Z9" s="185"/>
      <c r="AA9" s="186"/>
      <c r="AB9" s="186"/>
      <c r="AC9" s="186"/>
      <c r="AD9" s="185"/>
      <c r="AE9" s="185"/>
      <c r="AF9" s="182"/>
      <c r="AG9" s="189"/>
      <c r="AH9" s="81"/>
      <c r="AI9" s="80"/>
      <c r="AJ9" s="80"/>
      <c r="AK9" s="80"/>
      <c r="AL9" s="80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  <c r="EZ9" s="80"/>
      <c r="FA9" s="80"/>
      <c r="FB9" s="80"/>
      <c r="FC9" s="80"/>
      <c r="FD9" s="80"/>
      <c r="FE9" s="80"/>
      <c r="FF9" s="80"/>
      <c r="FG9" s="80"/>
      <c r="FH9" s="80"/>
      <c r="FI9" s="80"/>
      <c r="FJ9" s="80"/>
      <c r="FK9" s="80"/>
      <c r="FL9" s="80"/>
      <c r="FM9" s="80"/>
      <c r="FN9" s="80"/>
      <c r="FO9" s="80"/>
      <c r="FP9" s="80"/>
      <c r="FQ9" s="80"/>
      <c r="FR9" s="80"/>
      <c r="FS9" s="80"/>
      <c r="FT9" s="80"/>
      <c r="FU9" s="80"/>
      <c r="FV9" s="80"/>
      <c r="FW9" s="80"/>
      <c r="FX9" s="80"/>
      <c r="FY9" s="80"/>
      <c r="FZ9" s="80"/>
      <c r="GA9" s="80"/>
      <c r="GB9" s="80"/>
      <c r="GC9" s="80"/>
    </row>
    <row r="10" spans="1:240" s="4" customFormat="1" ht="15.75" thickBot="1" x14ac:dyDescent="0.3">
      <c r="A10" s="441" t="s">
        <v>347</v>
      </c>
      <c r="B10" s="441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183"/>
      <c r="X10" s="80"/>
      <c r="Y10" s="80"/>
      <c r="Z10" s="80"/>
      <c r="AA10" s="175"/>
      <c r="AB10" s="175"/>
      <c r="AC10" s="175"/>
      <c r="AD10" s="80"/>
      <c r="AE10" s="80"/>
      <c r="AF10" s="182"/>
      <c r="AG10" s="80"/>
      <c r="AH10" s="80"/>
      <c r="AI10" s="80"/>
      <c r="AJ10" s="80"/>
      <c r="AK10" s="80"/>
      <c r="AL10" s="80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</row>
    <row r="11" spans="1:240" s="4" customFormat="1" ht="15" customHeight="1" x14ac:dyDescent="0.25">
      <c r="A11" s="448" t="str">
        <f ca="1">EW67</f>
        <v xml:space="preserve">Track type      = </v>
      </c>
      <c r="B11" s="449"/>
      <c r="C11" s="449"/>
      <c r="D11" s="449"/>
      <c r="E11" s="365" t="s">
        <v>65</v>
      </c>
      <c r="F11" s="366"/>
      <c r="G11" s="366"/>
      <c r="H11" s="366"/>
      <c r="I11" s="367"/>
      <c r="J11" s="373" t="str">
        <f ca="1">IF(A2="","",IF(H112+H134&gt;=1,"!",""))</f>
        <v/>
      </c>
      <c r="K11" s="373"/>
      <c r="L11" s="374" t="str">
        <f ca="1">IF(E11="",EW86,IF(H134=1,EW92,""))</f>
        <v/>
      </c>
      <c r="M11" s="374"/>
      <c r="N11" s="374"/>
      <c r="O11" s="374"/>
      <c r="P11" s="374"/>
      <c r="Q11" s="374"/>
      <c r="R11" s="374"/>
      <c r="S11" s="374"/>
      <c r="T11" s="374"/>
      <c r="U11" s="374"/>
      <c r="V11" s="375"/>
      <c r="W11" s="388" t="str">
        <f ca="1">IF($AD$3="","",EW97)</f>
        <v>Curtain stacking</v>
      </c>
      <c r="X11" s="389"/>
      <c r="Y11" s="389"/>
      <c r="Z11" s="389"/>
      <c r="AA11" s="389" t="str">
        <f ca="1">IF(AA3="","",AA3)</f>
        <v/>
      </c>
      <c r="AB11" s="389"/>
      <c r="AC11" s="389"/>
      <c r="AD11" s="411">
        <f ca="1">IF(AD3="","",IF(AP112=BA117,CH90,ROUNDUP(CH90/AL111,0)))</f>
        <v>24</v>
      </c>
      <c r="AE11" s="411"/>
      <c r="AF11" s="190" t="str">
        <f ca="1">IF(AD11="","",IF(AP112=BA117,BA117,BA118))</f>
        <v>cm</v>
      </c>
      <c r="AG11" s="80"/>
      <c r="AH11" s="80"/>
      <c r="AI11" s="80"/>
      <c r="AJ11" s="80"/>
      <c r="AK11" s="80"/>
      <c r="AL11" s="80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</row>
    <row r="12" spans="1:240" s="4" customFormat="1" ht="15" customHeight="1" x14ac:dyDescent="0.25">
      <c r="A12" s="428"/>
      <c r="B12" s="429"/>
      <c r="C12" s="429"/>
      <c r="D12" s="429"/>
      <c r="E12" s="368"/>
      <c r="F12" s="369"/>
      <c r="G12" s="369"/>
      <c r="H12" s="369"/>
      <c r="I12" s="370"/>
      <c r="J12" s="373"/>
      <c r="K12" s="373"/>
      <c r="L12" s="374"/>
      <c r="M12" s="374"/>
      <c r="N12" s="374"/>
      <c r="O12" s="374"/>
      <c r="P12" s="374"/>
      <c r="Q12" s="374"/>
      <c r="R12" s="374"/>
      <c r="S12" s="374"/>
      <c r="T12" s="374"/>
      <c r="U12" s="374"/>
      <c r="V12" s="375"/>
      <c r="W12" s="388" t="str">
        <f ca="1">IF($AD$3="","",EW98)</f>
        <v>in open position</v>
      </c>
      <c r="X12" s="389"/>
      <c r="Y12" s="389"/>
      <c r="Z12" s="389"/>
      <c r="AA12" s="389" t="str">
        <f ca="1">IF(AA4 ="","",AA4)</f>
        <v/>
      </c>
      <c r="AB12" s="389"/>
      <c r="AC12" s="389"/>
      <c r="AD12" s="411" t="str">
        <f ca="1">IF($E$19=BA115,"",IF(AD3="","",IF(AP112=BA117,CJ90,ROUNDUP(CJ90/AL111,0))))</f>
        <v/>
      </c>
      <c r="AE12" s="411"/>
      <c r="AF12" s="190" t="str">
        <f ca="1">IF(AD12="","",AF11)</f>
        <v/>
      </c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</row>
    <row r="13" spans="1:240" s="4" customFormat="1" ht="15" customHeight="1" x14ac:dyDescent="0.25">
      <c r="A13" s="395" t="str">
        <f ca="1">IF(AP112=BA117,EW68,EW69)</f>
        <v xml:space="preserve">Track size in cm    = </v>
      </c>
      <c r="B13" s="396"/>
      <c r="C13" s="396"/>
      <c r="D13" s="397"/>
      <c r="E13" s="425">
        <v>100</v>
      </c>
      <c r="F13" s="426"/>
      <c r="G13" s="426"/>
      <c r="H13" s="426"/>
      <c r="I13" s="427"/>
      <c r="J13" s="373" t="str">
        <f>IF(A2="","",IF(H113+H121+H123+H124+K139&gt;=1,"!",""))</f>
        <v/>
      </c>
      <c r="K13" s="373"/>
      <c r="L13" s="407" t="str">
        <f>IF(E13="",EW86,IF(H121=1,EW89,IF(H123=1,EW88,IF(H124=1,EW87,IF(K139=1,EW145,"")))))</f>
        <v/>
      </c>
      <c r="M13" s="407"/>
      <c r="N13" s="407"/>
      <c r="O13" s="407"/>
      <c r="P13" s="407"/>
      <c r="Q13" s="407"/>
      <c r="R13" s="407"/>
      <c r="S13" s="407"/>
      <c r="T13" s="407"/>
      <c r="U13" s="407"/>
      <c r="V13" s="408"/>
      <c r="W13" s="388" t="str">
        <f ca="1">IF($AD$3="","",EW99)</f>
        <v>(minimal)</v>
      </c>
      <c r="X13" s="389"/>
      <c r="Y13" s="389"/>
      <c r="Z13" s="389"/>
      <c r="AA13" s="175"/>
      <c r="AB13" s="175"/>
      <c r="AC13" s="175"/>
      <c r="AD13" s="80"/>
      <c r="AE13" s="191"/>
      <c r="AF13" s="19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  <c r="EL13" s="80"/>
      <c r="EM13" s="80"/>
      <c r="EN13" s="80"/>
      <c r="EO13" s="80"/>
      <c r="EP13" s="80"/>
      <c r="EQ13" s="80"/>
      <c r="ER13" s="80"/>
      <c r="ES13" s="80"/>
      <c r="ET13" s="80"/>
      <c r="EU13" s="80"/>
      <c r="EV13" s="80"/>
      <c r="EW13" s="80"/>
      <c r="EX13" s="80"/>
      <c r="EY13" s="80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</row>
    <row r="14" spans="1:240" s="4" customFormat="1" ht="15" customHeight="1" x14ac:dyDescent="0.25">
      <c r="A14" s="386"/>
      <c r="B14" s="387"/>
      <c r="C14" s="387"/>
      <c r="D14" s="398"/>
      <c r="E14" s="416"/>
      <c r="F14" s="417"/>
      <c r="G14" s="417"/>
      <c r="H14" s="417"/>
      <c r="I14" s="418"/>
      <c r="J14" s="373"/>
      <c r="K14" s="373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8"/>
      <c r="W14" s="183"/>
      <c r="X14" s="192"/>
      <c r="Y14" s="192"/>
      <c r="Z14" s="192"/>
      <c r="AA14" s="193"/>
      <c r="AB14" s="193"/>
      <c r="AC14" s="193"/>
      <c r="AD14" s="192"/>
      <c r="AE14" s="192"/>
      <c r="AF14" s="190"/>
      <c r="AG14" s="188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0"/>
      <c r="DH14" s="80"/>
      <c r="DI14" s="80"/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0"/>
      <c r="FA14" s="80"/>
      <c r="FB14" s="80"/>
      <c r="FC14" s="80"/>
      <c r="FD14" s="80"/>
      <c r="FE14" s="80"/>
      <c r="FF14" s="80"/>
      <c r="FG14" s="80"/>
      <c r="FH14" s="80"/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</row>
    <row r="15" spans="1:240" s="4" customFormat="1" ht="15" customHeight="1" x14ac:dyDescent="0.25">
      <c r="A15" s="388" t="str">
        <f ca="1">EW70</f>
        <v xml:space="preserve">   Easyflex &lt;&gt;</v>
      </c>
      <c r="B15" s="389"/>
      <c r="C15" s="389"/>
      <c r="D15" s="389"/>
      <c r="E15" s="413" t="s">
        <v>0</v>
      </c>
      <c r="F15" s="414"/>
      <c r="G15" s="414"/>
      <c r="H15" s="414"/>
      <c r="I15" s="415"/>
      <c r="J15" s="373" t="str">
        <f>IF(A2="","",IF(OR(H114=1,H115=1),"!",""))</f>
        <v/>
      </c>
      <c r="K15" s="373"/>
      <c r="L15" s="374" t="str">
        <f>IF(E15="",EW86,IF(H115=1,EW90,""))</f>
        <v/>
      </c>
      <c r="M15" s="374"/>
      <c r="N15" s="374"/>
      <c r="O15" s="374"/>
      <c r="P15" s="374"/>
      <c r="Q15" s="374"/>
      <c r="R15" s="374"/>
      <c r="S15" s="374"/>
      <c r="T15" s="374"/>
      <c r="U15" s="374"/>
      <c r="V15" s="375"/>
      <c r="W15" s="388" t="str">
        <f ca="1">IF($AD$15="","",IF($H$111=0,EW100,""))</f>
        <v>Total tape length</v>
      </c>
      <c r="X15" s="389"/>
      <c r="Y15" s="389"/>
      <c r="Z15" s="389"/>
      <c r="AA15" s="389" t="str">
        <f ca="1">IF(AD15="","",AA3)</f>
        <v/>
      </c>
      <c r="AB15" s="389"/>
      <c r="AC15" s="389"/>
      <c r="AD15" s="411" t="str">
        <f ca="1">IF($H$111=1,"",IF($I$111=1,"","± "&amp;IF(AP112=BA117,CH77,ROUNDUP(CH77/AL111,0))))</f>
        <v>± 224</v>
      </c>
      <c r="AE15" s="411"/>
      <c r="AF15" s="190" t="str">
        <f ca="1">IF(AD15="","",IF(AP112=BA117,BA117,BA118))</f>
        <v>cm</v>
      </c>
      <c r="AG15" s="194"/>
      <c r="AH15" s="195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0"/>
      <c r="FA15" s="80"/>
      <c r="FB15" s="80"/>
      <c r="FC15" s="80"/>
      <c r="FD15" s="80"/>
      <c r="FE15" s="80"/>
      <c r="FF15" s="80"/>
      <c r="FG15" s="80"/>
      <c r="FH15" s="80"/>
      <c r="FI15" s="80"/>
      <c r="FJ15" s="80"/>
      <c r="FK15" s="80"/>
      <c r="FL15" s="80"/>
      <c r="FM15" s="80"/>
      <c r="FN15" s="80"/>
      <c r="FO15" s="80"/>
      <c r="FP15" s="80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/>
    </row>
    <row r="16" spans="1:240" s="4" customFormat="1" ht="15.75" customHeight="1" x14ac:dyDescent="0.25">
      <c r="A16" s="444" t="str">
        <f ca="1">EW71</f>
        <v xml:space="preserve">Easywave      = </v>
      </c>
      <c r="B16" s="445"/>
      <c r="C16" s="445"/>
      <c r="D16" s="445"/>
      <c r="E16" s="416"/>
      <c r="F16" s="417"/>
      <c r="G16" s="417"/>
      <c r="H16" s="417"/>
      <c r="I16" s="418"/>
      <c r="J16" s="373"/>
      <c r="K16" s="373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5"/>
      <c r="W16" s="388" t="str">
        <f ca="1">IF($AD$15="","",IF($H$111=0,EW101,""))</f>
        <v>required</v>
      </c>
      <c r="X16" s="389"/>
      <c r="Y16" s="389"/>
      <c r="Z16" s="389"/>
      <c r="AA16" s="389" t="str">
        <f ca="1">IF(AA15="","",IF(E19=BA115,"",AA4))</f>
        <v/>
      </c>
      <c r="AB16" s="389"/>
      <c r="AC16" s="389"/>
      <c r="AD16" s="411" t="str">
        <f ca="1">IF(AD15="","",IF($E$19=BA115,"","± "&amp;IF(AP112=BA117,CJ77,ROUNDUP(CJ77/AL111,0))))</f>
        <v/>
      </c>
      <c r="AE16" s="411"/>
      <c r="AF16" s="190" t="str">
        <f ca="1">IF(AD16="","",AF15)</f>
        <v/>
      </c>
      <c r="AG16" s="194"/>
      <c r="AH16" s="195"/>
      <c r="AI16" s="80"/>
      <c r="AJ16" s="80"/>
      <c r="AK16" s="80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</row>
    <row r="17" spans="1:185" s="4" customFormat="1" ht="15.75" customHeight="1" x14ac:dyDescent="0.25">
      <c r="A17" s="384" t="str">
        <f ca="1">EW72</f>
        <v>Carrier distance:</v>
      </c>
      <c r="B17" s="385"/>
      <c r="C17" s="385"/>
      <c r="D17" s="385"/>
      <c r="E17" s="419" t="s">
        <v>9</v>
      </c>
      <c r="F17" s="420"/>
      <c r="G17" s="420"/>
      <c r="H17" s="420"/>
      <c r="I17" s="421"/>
      <c r="J17" s="373" t="str">
        <f>IF(A2="","",IF(OR(H116=1,H137=1),"!",""))</f>
        <v/>
      </c>
      <c r="K17" s="373"/>
      <c r="L17" s="374" t="str">
        <f>IF(E17="",EW86,IF(H137=1,EW90,""))</f>
        <v/>
      </c>
      <c r="M17" s="374"/>
      <c r="N17" s="374"/>
      <c r="O17" s="374"/>
      <c r="P17" s="374"/>
      <c r="Q17" s="374"/>
      <c r="R17" s="374"/>
      <c r="S17" s="374"/>
      <c r="T17" s="374"/>
      <c r="U17" s="374"/>
      <c r="V17" s="375"/>
      <c r="W17" s="183"/>
      <c r="X17" s="80"/>
      <c r="Y17" s="80"/>
      <c r="Z17" s="80"/>
      <c r="AA17" s="80"/>
      <c r="AB17" s="80"/>
      <c r="AC17" s="80"/>
      <c r="AD17" s="191"/>
      <c r="AE17" s="191"/>
      <c r="AF17" s="190" t="str">
        <f>IF(AD17="","","cm")</f>
        <v/>
      </c>
      <c r="AG17" s="194"/>
      <c r="AH17" s="195"/>
      <c r="AI17" s="80"/>
      <c r="AJ17" s="80"/>
      <c r="AK17" s="80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</row>
    <row r="18" spans="1:185" s="4" customFormat="1" ht="15" customHeight="1" x14ac:dyDescent="0.25">
      <c r="A18" s="386" t="str">
        <f ca="1">IF(AP112=BA117,EW73,EW74)</f>
        <v xml:space="preserve">5,4cm / 6cm / 8cm   = </v>
      </c>
      <c r="B18" s="387"/>
      <c r="C18" s="387"/>
      <c r="D18" s="387"/>
      <c r="E18" s="422"/>
      <c r="F18" s="423"/>
      <c r="G18" s="423"/>
      <c r="H18" s="423"/>
      <c r="I18" s="424"/>
      <c r="J18" s="373"/>
      <c r="K18" s="373"/>
      <c r="L18" s="374"/>
      <c r="M18" s="374"/>
      <c r="N18" s="374"/>
      <c r="O18" s="374"/>
      <c r="P18" s="374"/>
      <c r="Q18" s="374"/>
      <c r="R18" s="374"/>
      <c r="S18" s="374"/>
      <c r="T18" s="374"/>
      <c r="U18" s="374"/>
      <c r="V18" s="375"/>
      <c r="W18" s="183"/>
      <c r="X18" s="80"/>
      <c r="Y18" s="80"/>
      <c r="Z18" s="80"/>
      <c r="AA18" s="80"/>
      <c r="AB18" s="80"/>
      <c r="AC18" s="80"/>
      <c r="AD18" s="191"/>
      <c r="AE18" s="191"/>
      <c r="AF18" s="190" t="str">
        <f>IF(AD18="","","cm")</f>
        <v/>
      </c>
      <c r="AG18" s="80"/>
      <c r="AH18" s="80"/>
      <c r="AI18" s="167"/>
      <c r="AJ18" s="80"/>
      <c r="AK18" s="80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92"/>
      <c r="BM18" s="92"/>
      <c r="BN18" s="92"/>
      <c r="BO18" s="92"/>
      <c r="BP18" s="92"/>
      <c r="BQ18" s="92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0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/>
    </row>
    <row r="19" spans="1:185" s="4" customFormat="1" ht="15" customHeight="1" x14ac:dyDescent="0.25">
      <c r="A19" s="446" t="str">
        <f ca="1">EW75</f>
        <v>One-way draw &lt;&gt;</v>
      </c>
      <c r="B19" s="447"/>
      <c r="C19" s="447"/>
      <c r="D19" s="447"/>
      <c r="E19" s="425" t="s">
        <v>12</v>
      </c>
      <c r="F19" s="426"/>
      <c r="G19" s="426"/>
      <c r="H19" s="426"/>
      <c r="I19" s="427"/>
      <c r="J19" s="373" t="str">
        <f ca="1">IF(A2="","",IF(H117+H131+H135&gt;=1,"!",""))</f>
        <v/>
      </c>
      <c r="K19" s="373"/>
      <c r="L19" s="374" t="str">
        <f ca="1">IF(E19="",EW86,IF(H131=1,EW91,IF(H135=1,EW92,"")))</f>
        <v/>
      </c>
      <c r="M19" s="374"/>
      <c r="N19" s="374"/>
      <c r="O19" s="374"/>
      <c r="P19" s="374"/>
      <c r="Q19" s="374"/>
      <c r="R19" s="374"/>
      <c r="S19" s="374"/>
      <c r="T19" s="374"/>
      <c r="U19" s="374"/>
      <c r="V19" s="375"/>
      <c r="W19" s="388" t="str">
        <f ca="1">IF($AD$15="","",IF($H$111=0,EW102,""))</f>
        <v>Curtain fullness</v>
      </c>
      <c r="X19" s="389"/>
      <c r="Y19" s="389"/>
      <c r="Z19" s="389"/>
      <c r="AA19" s="389" t="str">
        <f ca="1">IF(AA15="","",AA3)</f>
        <v/>
      </c>
      <c r="AB19" s="389"/>
      <c r="AC19" s="389"/>
      <c r="AD19" s="362">
        <f ca="1">IF(AD15="","",CH82)</f>
        <v>224.00000000000003</v>
      </c>
      <c r="AE19" s="362"/>
      <c r="AF19" s="190" t="str">
        <f ca="1">IF(AD19="","","%")</f>
        <v>%</v>
      </c>
      <c r="AG19" s="80"/>
      <c r="AH19" s="80"/>
      <c r="AI19" s="80"/>
      <c r="AJ19" s="80"/>
      <c r="AK19" s="80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0"/>
      <c r="FQ19" s="80"/>
      <c r="FR19" s="80"/>
      <c r="FS19" s="80"/>
      <c r="FT19" s="80"/>
      <c r="FU19" s="80"/>
      <c r="FV19" s="80"/>
      <c r="FW19" s="80"/>
      <c r="FX19" s="80"/>
      <c r="FY19" s="80"/>
      <c r="FZ19" s="80"/>
      <c r="GA19" s="80"/>
      <c r="GB19" s="80"/>
      <c r="GC19" s="80"/>
    </row>
    <row r="20" spans="1:185" s="4" customFormat="1" ht="15" customHeight="1" x14ac:dyDescent="0.25">
      <c r="A20" s="444" t="str">
        <f ca="1">EW76</f>
        <v xml:space="preserve">Center closing   = </v>
      </c>
      <c r="B20" s="445"/>
      <c r="C20" s="445"/>
      <c r="D20" s="445"/>
      <c r="E20" s="416"/>
      <c r="F20" s="417"/>
      <c r="G20" s="417"/>
      <c r="H20" s="417"/>
      <c r="I20" s="418"/>
      <c r="J20" s="373"/>
      <c r="K20" s="373"/>
      <c r="L20" s="374"/>
      <c r="M20" s="374"/>
      <c r="N20" s="374"/>
      <c r="O20" s="374"/>
      <c r="P20" s="374"/>
      <c r="Q20" s="374"/>
      <c r="R20" s="374"/>
      <c r="S20" s="374"/>
      <c r="T20" s="374"/>
      <c r="U20" s="374"/>
      <c r="V20" s="375"/>
      <c r="W20" s="183"/>
      <c r="X20" s="80"/>
      <c r="Y20" s="80"/>
      <c r="Z20" s="80"/>
      <c r="AA20" s="389" t="str">
        <f ca="1">IF(AA16="","",AA4)</f>
        <v/>
      </c>
      <c r="AB20" s="389"/>
      <c r="AC20" s="389"/>
      <c r="AD20" s="362" t="str">
        <f ca="1">IF(AD16="","",CJ82)</f>
        <v/>
      </c>
      <c r="AE20" s="362"/>
      <c r="AF20" s="190" t="str">
        <f ca="1">IF(AD20="","","%")</f>
        <v/>
      </c>
      <c r="AG20" s="80"/>
      <c r="AH20" s="80"/>
      <c r="AI20" s="80"/>
      <c r="AJ20" s="80"/>
      <c r="AK20" s="80"/>
      <c r="AL20" s="92"/>
      <c r="AM20" s="92"/>
      <c r="AN20" s="92"/>
      <c r="AO20" s="92"/>
      <c r="AP20" s="92"/>
      <c r="AQ20" s="92"/>
      <c r="AR20" s="92"/>
      <c r="AS20" s="9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2"/>
      <c r="BL20" s="92"/>
      <c r="BM20" s="92"/>
      <c r="BN20" s="92"/>
      <c r="BO20" s="92"/>
      <c r="BP20" s="92"/>
      <c r="BQ20" s="92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</row>
    <row r="21" spans="1:185" s="4" customFormat="1" ht="15" customHeight="1" x14ac:dyDescent="0.25">
      <c r="A21" s="384" t="str">
        <f ca="1">IF($R$56=0,"",EW77)</f>
        <v>Master type:</v>
      </c>
      <c r="B21" s="385"/>
      <c r="C21" s="385"/>
      <c r="D21" s="385"/>
      <c r="E21" s="419" t="s">
        <v>96</v>
      </c>
      <c r="F21" s="420"/>
      <c r="G21" s="420"/>
      <c r="H21" s="420"/>
      <c r="I21" s="421"/>
      <c r="J21" s="373" t="str">
        <f ca="1">IF(A2="","",IF(H118+H136&gt;=1,"!",""))</f>
        <v/>
      </c>
      <c r="K21" s="373"/>
      <c r="L21" s="374" t="str">
        <f ca="1">IF(J21="","",IF(E21="",EW86,IF(H136=1,EW92,"")))</f>
        <v/>
      </c>
      <c r="M21" s="374"/>
      <c r="N21" s="374"/>
      <c r="O21" s="374"/>
      <c r="P21" s="374"/>
      <c r="Q21" s="374"/>
      <c r="R21" s="374"/>
      <c r="S21" s="374"/>
      <c r="T21" s="374"/>
      <c r="U21" s="374"/>
      <c r="V21" s="375"/>
      <c r="W21" s="183"/>
      <c r="X21" s="80"/>
      <c r="Y21" s="80"/>
      <c r="Z21" s="80"/>
      <c r="AA21" s="80"/>
      <c r="AB21" s="80"/>
      <c r="AC21" s="80"/>
      <c r="AD21" s="80"/>
      <c r="AE21" s="80"/>
      <c r="AF21" s="190"/>
      <c r="AG21" s="80"/>
      <c r="AH21" s="80"/>
      <c r="AI21" s="80"/>
      <c r="AJ21" s="80"/>
      <c r="AK21" s="80"/>
      <c r="AL21" s="92"/>
      <c r="AM21" s="92"/>
      <c r="AN21" s="92"/>
      <c r="AO21" s="92"/>
      <c r="AP21" s="92"/>
      <c r="AQ21" s="92"/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</row>
    <row r="22" spans="1:185" s="4" customFormat="1" ht="15" customHeight="1" x14ac:dyDescent="0.25">
      <c r="A22" s="428" t="str">
        <f ca="1">IF($R$56=0,"",EW78)</f>
        <v xml:space="preserve">Steel / Plastic   = </v>
      </c>
      <c r="B22" s="429"/>
      <c r="C22" s="429"/>
      <c r="D22" s="429"/>
      <c r="E22" s="422"/>
      <c r="F22" s="423"/>
      <c r="G22" s="423"/>
      <c r="H22" s="423"/>
      <c r="I22" s="424"/>
      <c r="J22" s="373"/>
      <c r="K22" s="373"/>
      <c r="L22" s="374"/>
      <c r="M22" s="374"/>
      <c r="N22" s="374"/>
      <c r="O22" s="374"/>
      <c r="P22" s="374"/>
      <c r="Q22" s="374"/>
      <c r="R22" s="374"/>
      <c r="S22" s="374"/>
      <c r="T22" s="374"/>
      <c r="U22" s="374"/>
      <c r="V22" s="375"/>
      <c r="W22" s="183"/>
      <c r="X22" s="80"/>
      <c r="Y22" s="80"/>
      <c r="Z22" s="80"/>
      <c r="AA22" s="80"/>
      <c r="AB22" s="80"/>
      <c r="AC22" s="80"/>
      <c r="AD22" s="80"/>
      <c r="AE22" s="80"/>
      <c r="AF22" s="190"/>
      <c r="AG22" s="80"/>
      <c r="AH22" s="80"/>
      <c r="AI22" s="80"/>
      <c r="AJ22" s="80"/>
      <c r="AK22" s="80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</row>
    <row r="23" spans="1:185" s="4" customFormat="1" ht="15" customHeight="1" x14ac:dyDescent="0.25">
      <c r="A23" s="446" t="str">
        <f ca="1">IF(E11=A75,EW79,"")</f>
        <v/>
      </c>
      <c r="B23" s="447"/>
      <c r="C23" s="447"/>
      <c r="D23" s="447"/>
      <c r="E23" s="425"/>
      <c r="F23" s="426"/>
      <c r="G23" s="426"/>
      <c r="H23" s="426"/>
      <c r="I23" s="427"/>
      <c r="J23" s="373" t="str">
        <f ca="1">IF(A2="","",IF(L23="","","!"))</f>
        <v/>
      </c>
      <c r="K23" s="373"/>
      <c r="L23" s="374" t="str">
        <f ca="1">IF(E11=A75,IF(E23="",EW86,IF(H133=1,EW87,IF(H132=1,EW88,""))),"")</f>
        <v/>
      </c>
      <c r="M23" s="374"/>
      <c r="N23" s="374"/>
      <c r="O23" s="374"/>
      <c r="P23" s="374"/>
      <c r="Q23" s="374"/>
      <c r="R23" s="374"/>
      <c r="S23" s="374"/>
      <c r="T23" s="374"/>
      <c r="U23" s="374"/>
      <c r="V23" s="375"/>
      <c r="W23" s="399" t="str">
        <f ca="1">IF($AD$15="","",EW103)</f>
        <v xml:space="preserve">    Total depth of the curtain:</v>
      </c>
      <c r="X23" s="354"/>
      <c r="Y23" s="354"/>
      <c r="Z23" s="354"/>
      <c r="AA23" s="354"/>
      <c r="AB23" s="354"/>
      <c r="AC23" s="80"/>
      <c r="AD23" s="80"/>
      <c r="AE23" s="196"/>
      <c r="AF23" s="197"/>
      <c r="AG23" s="80"/>
      <c r="AH23" s="80"/>
      <c r="AI23" s="80"/>
      <c r="AJ23" s="80"/>
      <c r="AK23" s="80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92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</row>
    <row r="24" spans="1:185" s="4" customFormat="1" ht="15" customHeight="1" x14ac:dyDescent="0.25">
      <c r="A24" s="444" t="str">
        <f ca="1">IF(E11=A75,EW80,"")</f>
        <v/>
      </c>
      <c r="B24" s="445"/>
      <c r="C24" s="445"/>
      <c r="D24" s="445"/>
      <c r="E24" s="416"/>
      <c r="F24" s="417"/>
      <c r="G24" s="417"/>
      <c r="H24" s="417"/>
      <c r="I24" s="418"/>
      <c r="J24" s="373"/>
      <c r="K24" s="373"/>
      <c r="L24" s="374"/>
      <c r="M24" s="374"/>
      <c r="N24" s="374"/>
      <c r="O24" s="374"/>
      <c r="P24" s="374"/>
      <c r="Q24" s="374"/>
      <c r="R24" s="374"/>
      <c r="S24" s="374"/>
      <c r="T24" s="374"/>
      <c r="U24" s="374"/>
      <c r="V24" s="375"/>
      <c r="W24" s="198" t="str">
        <f ca="1">IF(X24="","","-")</f>
        <v>-</v>
      </c>
      <c r="X24" s="354" t="str">
        <f ca="1">IF($AD$15="","",EW104)</f>
        <v>In closed position</v>
      </c>
      <c r="Y24" s="354"/>
      <c r="Z24" s="354"/>
      <c r="AA24" s="354"/>
      <c r="AB24" s="354"/>
      <c r="AC24" s="80"/>
      <c r="AD24" s="412" t="str">
        <f ca="1">IF(AD15="","","± "&amp;IF(AP112=BA117,Y128,ROUNDUP(Y128/AL111,0)))</f>
        <v>± 13</v>
      </c>
      <c r="AE24" s="412"/>
      <c r="AF24" s="197" t="str">
        <f ca="1">IF(AD24="","",IF(AP112=BA117,BA117,BA118))</f>
        <v>cm</v>
      </c>
      <c r="AG24" s="80"/>
      <c r="AH24" s="80"/>
      <c r="AI24" s="80"/>
      <c r="AJ24" s="80"/>
      <c r="AK24" s="80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</row>
    <row r="25" spans="1:185" s="4" customFormat="1" ht="15" customHeight="1" x14ac:dyDescent="0.25">
      <c r="A25" s="442" t="str">
        <f ca="1">IF(J56=2,IF(E19=BA115,"",EW81),"")</f>
        <v/>
      </c>
      <c r="B25" s="443"/>
      <c r="C25" s="443"/>
      <c r="D25" s="443"/>
      <c r="E25" s="425"/>
      <c r="F25" s="426"/>
      <c r="G25" s="426"/>
      <c r="H25" s="426"/>
      <c r="I25" s="427"/>
      <c r="J25" s="199"/>
      <c r="K25" s="184"/>
      <c r="L25" s="80"/>
      <c r="M25" s="80"/>
      <c r="N25" s="80"/>
      <c r="O25" s="80"/>
      <c r="P25" s="200"/>
      <c r="Q25" s="80"/>
      <c r="R25" s="80"/>
      <c r="S25" s="80"/>
      <c r="T25" s="80"/>
      <c r="U25" s="80"/>
      <c r="V25" s="80"/>
      <c r="W25" s="198" t="str">
        <f ca="1">IF(X25="","","-")</f>
        <v>-</v>
      </c>
      <c r="X25" s="354" t="str">
        <f ca="1">IF($AD$15="","",EW105)</f>
        <v>With open position</v>
      </c>
      <c r="Y25" s="354"/>
      <c r="Z25" s="354"/>
      <c r="AA25" s="354"/>
      <c r="AB25" s="354"/>
      <c r="AC25" s="80"/>
      <c r="AD25" s="412" t="str">
        <f ca="1">IF(AD15="","","± "&amp;IF(AP112=BA117,AB128,ROUNDUP(AB128/AL111,0)))</f>
        <v>± 16</v>
      </c>
      <c r="AE25" s="412"/>
      <c r="AF25" s="197" t="str">
        <f ca="1">IF(AD25="","",IF(AP112=BA117,BA117,BA118))</f>
        <v>cm</v>
      </c>
      <c r="AG25" s="80"/>
      <c r="AH25" s="80"/>
      <c r="AI25" s="80"/>
      <c r="AJ25" s="80"/>
      <c r="AK25" s="80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</row>
    <row r="26" spans="1:185" s="4" customFormat="1" ht="15" customHeight="1" thickBot="1" x14ac:dyDescent="0.3">
      <c r="A26" s="432" t="str">
        <f ca="1">IF(J56=2,IF(E19=BA115,"",EW82),"")</f>
        <v/>
      </c>
      <c r="B26" s="433"/>
      <c r="C26" s="433"/>
      <c r="D26" s="433"/>
      <c r="E26" s="416"/>
      <c r="F26" s="417"/>
      <c r="G26" s="417"/>
      <c r="H26" s="417"/>
      <c r="I26" s="418"/>
      <c r="J26" s="184"/>
      <c r="K26" s="184"/>
      <c r="L26" s="80"/>
      <c r="M26" s="80"/>
      <c r="N26" s="80"/>
      <c r="O26" s="409" t="str">
        <f ca="1">IF(A25="","",IF($CN$66=0,"",IF(J111&gt;=1,"",E25)))</f>
        <v/>
      </c>
      <c r="P26" s="409"/>
      <c r="Q26" s="80" t="str">
        <f ca="1">IF(A25="","",IF(CN66=0,"",IF(J111&gt;=1,"","cm")))</f>
        <v/>
      </c>
      <c r="R26" s="80"/>
      <c r="S26" s="80"/>
      <c r="T26" s="80"/>
      <c r="U26" s="80"/>
      <c r="V26" s="80"/>
      <c r="W26" s="201"/>
      <c r="X26" s="202"/>
      <c r="Y26" s="202"/>
      <c r="Z26" s="202"/>
      <c r="AA26" s="202"/>
      <c r="AB26" s="202"/>
      <c r="AC26" s="202"/>
      <c r="AD26" s="202"/>
      <c r="AE26" s="202"/>
      <c r="AF26" s="203"/>
      <c r="AG26" s="80"/>
      <c r="AH26" s="80"/>
      <c r="AI26" s="80"/>
      <c r="AJ26" s="80"/>
      <c r="AK26" s="80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92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</row>
    <row r="27" spans="1:185" s="4" customFormat="1" x14ac:dyDescent="0.25">
      <c r="A27" s="376" t="str">
        <f ca="1">EW83</f>
        <v>Distance between</v>
      </c>
      <c r="B27" s="377"/>
      <c r="C27" s="377"/>
      <c r="D27" s="377"/>
      <c r="E27" s="378">
        <v>16</v>
      </c>
      <c r="F27" s="379"/>
      <c r="G27" s="379"/>
      <c r="H27" s="379"/>
      <c r="I27" s="3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0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</row>
    <row r="28" spans="1:185" s="4" customFormat="1" ht="15.75" thickBot="1" x14ac:dyDescent="0.3">
      <c r="A28" s="371" t="str">
        <f ca="1">IF(AP112=BA117,EW84,EW85)</f>
        <v xml:space="preserve"> hooks in cm*    = </v>
      </c>
      <c r="B28" s="372"/>
      <c r="C28" s="372"/>
      <c r="D28" s="372"/>
      <c r="E28" s="381"/>
      <c r="F28" s="382"/>
      <c r="G28" s="382"/>
      <c r="H28" s="382"/>
      <c r="I28" s="383"/>
      <c r="J28" s="80"/>
      <c r="K28" s="80"/>
      <c r="L28" s="175"/>
      <c r="M28" s="175"/>
      <c r="N28" s="175"/>
      <c r="O28" s="175"/>
      <c r="P28" s="175"/>
      <c r="Q28" s="175"/>
      <c r="R28" s="175"/>
      <c r="S28" s="175"/>
      <c r="T28" s="175"/>
      <c r="U28" s="80"/>
      <c r="V28" s="80"/>
      <c r="W28" s="175"/>
      <c r="X28" s="175"/>
      <c r="Y28" s="175"/>
      <c r="Z28" s="175"/>
      <c r="AA28" s="175"/>
      <c r="AB28" s="175"/>
      <c r="AC28" s="175"/>
      <c r="AD28" s="175"/>
      <c r="AE28" s="175"/>
      <c r="AF28" s="80"/>
      <c r="AG28" s="80"/>
      <c r="AH28" s="80"/>
      <c r="AI28" s="80"/>
      <c r="AJ28" s="80"/>
      <c r="AK28" s="80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</row>
    <row r="29" spans="1:185" s="4" customFormat="1" x14ac:dyDescent="0.25">
      <c r="A29" s="80"/>
      <c r="B29" s="175"/>
      <c r="C29" s="175"/>
      <c r="D29" s="175"/>
      <c r="E29" s="175"/>
      <c r="F29" s="175"/>
      <c r="G29" s="175"/>
      <c r="H29" s="175"/>
      <c r="I29" s="175"/>
      <c r="J29" s="80"/>
      <c r="K29" s="80"/>
      <c r="L29" s="80"/>
      <c r="M29" s="181"/>
      <c r="N29" s="181"/>
      <c r="O29" s="181"/>
      <c r="P29" s="181"/>
      <c r="Q29" s="181"/>
      <c r="R29" s="181"/>
      <c r="S29" s="181"/>
      <c r="T29" s="181"/>
      <c r="U29" s="80"/>
      <c r="V29" s="80"/>
      <c r="W29" s="181"/>
      <c r="X29" s="181"/>
      <c r="Y29" s="181"/>
      <c r="Z29" s="181"/>
      <c r="AA29" s="181"/>
      <c r="AB29" s="181"/>
      <c r="AC29" s="181"/>
      <c r="AD29" s="181"/>
      <c r="AE29" s="181"/>
      <c r="AF29" s="80"/>
      <c r="AG29" s="80"/>
      <c r="AH29" s="80"/>
      <c r="AI29" s="80"/>
      <c r="AJ29" s="80"/>
      <c r="AK29" s="80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</row>
    <row r="30" spans="1:185" s="4" customFormat="1" x14ac:dyDescent="0.25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175"/>
      <c r="O30" s="80"/>
      <c r="P30" s="175"/>
      <c r="Q30" s="80"/>
      <c r="R30" s="80"/>
      <c r="S30" s="80"/>
      <c r="T30" s="80"/>
      <c r="U30" s="80"/>
      <c r="V30" s="80"/>
      <c r="W30" s="80"/>
      <c r="X30" s="175"/>
      <c r="Y30" s="80"/>
      <c r="Z30" s="80"/>
      <c r="AA30" s="175"/>
      <c r="AB30" s="80"/>
      <c r="AC30" s="175"/>
      <c r="AD30" s="80"/>
      <c r="AE30" s="80"/>
      <c r="AF30" s="80"/>
      <c r="AG30" s="80"/>
      <c r="AH30" s="80"/>
      <c r="AI30" s="80"/>
      <c r="AJ30" s="80"/>
      <c r="AK30" s="80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</row>
    <row r="31" spans="1:185" s="4" customFormat="1" x14ac:dyDescent="0.25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</row>
    <row r="32" spans="1:185" s="4" customFormat="1" x14ac:dyDescent="0.25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</row>
    <row r="33" spans="1:282" s="4" customFormat="1" x14ac:dyDescent="0.25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204"/>
      <c r="L33" s="204"/>
      <c r="M33" s="204"/>
      <c r="N33" s="204"/>
      <c r="O33" s="204"/>
      <c r="P33" s="204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</row>
    <row r="34" spans="1:282" s="4" customFormat="1" x14ac:dyDescent="0.25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</row>
    <row r="35" spans="1:282" s="4" customFormat="1" x14ac:dyDescent="0.25">
      <c r="A35" s="204"/>
      <c r="B35" s="204"/>
      <c r="C35" s="204"/>
      <c r="D35" s="204"/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92"/>
      <c r="AK35" s="80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</row>
    <row r="36" spans="1:282" s="4" customFormat="1" x14ac:dyDescent="0.25">
      <c r="A36" s="204"/>
      <c r="B36" s="204"/>
      <c r="C36" s="204"/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204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1"/>
      <c r="AO36" s="81"/>
      <c r="AP36" s="93"/>
      <c r="AQ36" s="93"/>
      <c r="AR36" s="93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/>
      <c r="EQ36" s="81"/>
      <c r="ER36" s="81"/>
      <c r="ES36" s="81"/>
      <c r="ET36" s="81"/>
      <c r="EU36" s="81"/>
      <c r="EV36" s="81"/>
      <c r="EW36" s="81"/>
      <c r="EX36" s="81"/>
      <c r="EY36" s="81"/>
      <c r="EZ36" s="81"/>
      <c r="FA36" s="81"/>
      <c r="FB36" s="81"/>
      <c r="FC36" s="81"/>
      <c r="FD36" s="81"/>
      <c r="FE36" s="81"/>
      <c r="FF36" s="81"/>
      <c r="FG36" s="81"/>
      <c r="FH36" s="81"/>
      <c r="FI36" s="81"/>
      <c r="FJ36" s="81"/>
      <c r="FK36" s="81"/>
      <c r="FL36" s="81"/>
      <c r="FM36" s="81"/>
      <c r="FN36" s="81"/>
      <c r="FO36" s="81"/>
      <c r="FP36" s="81"/>
      <c r="FQ36" s="81"/>
      <c r="FR36" s="81"/>
      <c r="FS36" s="81"/>
      <c r="FT36" s="81"/>
      <c r="FU36" s="81"/>
      <c r="FV36" s="81"/>
      <c r="FW36" s="81"/>
      <c r="FX36" s="81"/>
      <c r="FY36" s="81"/>
      <c r="FZ36" s="81"/>
      <c r="GA36" s="81"/>
      <c r="GB36" s="81"/>
      <c r="GC36" s="81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  <c r="IY36" s="35"/>
      <c r="IZ36" s="35"/>
      <c r="JA36" s="35"/>
      <c r="JB36" s="35"/>
      <c r="JC36" s="35"/>
      <c r="JD36" s="35"/>
      <c r="JE36" s="35"/>
      <c r="JF36" s="35"/>
      <c r="JG36" s="35"/>
      <c r="JH36" s="35"/>
      <c r="JI36" s="35"/>
      <c r="JJ36" s="35"/>
      <c r="JK36" s="35"/>
      <c r="JL36" s="35"/>
      <c r="JM36" s="35"/>
      <c r="JN36" s="35"/>
      <c r="JO36" s="35"/>
      <c r="JP36" s="35"/>
      <c r="JQ36" s="35"/>
      <c r="JR36" s="35"/>
      <c r="JS36" s="35"/>
      <c r="JT36" s="35"/>
      <c r="JU36" s="35"/>
      <c r="JV36" s="35"/>
    </row>
    <row r="37" spans="1:282" s="4" customFormat="1" x14ac:dyDescent="0.25">
      <c r="A37" s="204"/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92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/>
    </row>
    <row r="38" spans="1:282" s="4" customFormat="1" x14ac:dyDescent="0.25">
      <c r="A38" s="204"/>
      <c r="B38" s="204"/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175">
        <f ca="1">IF($H$111=1,"",1)</f>
        <v>1</v>
      </c>
      <c r="N38" s="175"/>
      <c r="O38" s="175" t="str">
        <f ca="1">IF($H$111=1,"","...")</f>
        <v>...</v>
      </c>
      <c r="P38" s="175"/>
      <c r="Q38" s="175" t="str">
        <f ca="1">IF($H$111=1,"",IF($E$19=$BA$115,"...",CH74-1))</f>
        <v>...</v>
      </c>
      <c r="R38" s="175"/>
      <c r="S38" s="175" t="str">
        <f ca="1">IF($H$111=1,"",IF($E$19=$BA$115,"...",CH74))</f>
        <v>...</v>
      </c>
      <c r="T38" s="175"/>
      <c r="U38" s="175" t="str">
        <f ca="1">IF($H$111=1,"",IF($E$19=$BA$115,"...",""))</f>
        <v>...</v>
      </c>
      <c r="V38" s="175"/>
      <c r="W38" s="175" t="str">
        <f ca="1">IF($H$111=1,"",IF($E$19=$BA$115,"...",""))</f>
        <v>...</v>
      </c>
      <c r="X38" s="175"/>
      <c r="Y38" s="175">
        <f ca="1">IF($H$111=1,"",IF($E$19=$BA$115,CH74-1,CJ74))</f>
        <v>13</v>
      </c>
      <c r="Z38" s="175"/>
      <c r="AA38" s="175">
        <f ca="1">IF($H$111=1,"",IF($E$19=$BA$115,CH74,CJ74-1))</f>
        <v>14</v>
      </c>
      <c r="AB38" s="175"/>
      <c r="AC38" s="175" t="str">
        <f ca="1">IF($H$111=1,"",IF($E$19=$BA$115,"","..."))</f>
        <v/>
      </c>
      <c r="AD38" s="175"/>
      <c r="AE38" s="175" t="str">
        <f ca="1">IF($H$111=1,"",IF($E$19=$BA$115,"",1))</f>
        <v/>
      </c>
      <c r="AF38" s="80"/>
      <c r="AG38" s="80"/>
      <c r="AH38" s="80"/>
      <c r="AI38" s="80"/>
      <c r="AJ38" s="92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/>
    </row>
    <row r="39" spans="1:282" s="4" customFormat="1" x14ac:dyDescent="0.25">
      <c r="A39" s="394" t="str">
        <f ca="1">EW117</f>
        <v>*  In combination with 'Easyflex hook fitter 9900000017'.</v>
      </c>
      <c r="B39" s="394"/>
      <c r="C39" s="394"/>
      <c r="D39" s="394"/>
      <c r="E39" s="394"/>
      <c r="F39" s="394"/>
      <c r="G39" s="394"/>
      <c r="H39" s="394"/>
      <c r="I39" s="394"/>
      <c r="J39" s="394"/>
      <c r="K39" s="394"/>
      <c r="L39" s="394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80"/>
      <c r="AG39" s="80"/>
      <c r="AH39" s="80"/>
      <c r="AI39" s="80"/>
      <c r="AJ39" s="92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91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354"/>
      <c r="BU39" s="354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  <c r="CT39" s="80"/>
      <c r="CU39" s="80"/>
      <c r="CV39" s="80"/>
      <c r="CW39" s="80"/>
      <c r="CX39" s="80"/>
      <c r="CY39" s="80"/>
      <c r="CZ39" s="80"/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/>
    </row>
    <row r="40" spans="1:282" s="4" customFormat="1" x14ac:dyDescent="0.25">
      <c r="A40" s="394" t="str">
        <f ca="1">EW118</f>
        <v>** Includes carriers that are placed inside master carriers.</v>
      </c>
      <c r="B40" s="394"/>
      <c r="C40" s="394"/>
      <c r="D40" s="394"/>
      <c r="E40" s="394"/>
      <c r="F40" s="394"/>
      <c r="G40" s="394"/>
      <c r="H40" s="394"/>
      <c r="I40" s="394"/>
      <c r="J40" s="394"/>
      <c r="K40" s="394"/>
      <c r="L40" s="394"/>
      <c r="M40" s="394"/>
      <c r="N40" s="394"/>
      <c r="O40" s="394"/>
      <c r="P40" s="394"/>
      <c r="Q40" s="394"/>
      <c r="R40" s="80"/>
      <c r="S40" s="80"/>
      <c r="T40" s="175"/>
      <c r="U40" s="80"/>
      <c r="V40" s="80"/>
      <c r="W40" s="175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92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</row>
    <row r="41" spans="1:282" s="4" customFormat="1" x14ac:dyDescent="0.25">
      <c r="A41" s="394" t="str">
        <f ca="1">EW119</f>
        <v>*** Always measured from the left side, only for hand operated curtains.</v>
      </c>
      <c r="B41" s="394"/>
      <c r="C41" s="394"/>
      <c r="D41" s="394"/>
      <c r="E41" s="394"/>
      <c r="F41" s="394"/>
      <c r="G41" s="394"/>
      <c r="H41" s="394"/>
      <c r="I41" s="394"/>
      <c r="J41" s="394"/>
      <c r="K41" s="394"/>
      <c r="L41" s="394"/>
      <c r="M41" s="394"/>
      <c r="N41" s="394"/>
      <c r="O41" s="394"/>
      <c r="P41" s="394"/>
      <c r="Q41" s="394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9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</row>
    <row r="42" spans="1:282" s="4" customFormat="1" x14ac:dyDescent="0.25">
      <c r="A42" s="394" t="str">
        <f ca="1">EW120</f>
        <v>- Product tolerances are calculated in the final results.</v>
      </c>
      <c r="B42" s="394"/>
      <c r="C42" s="394"/>
      <c r="D42" s="394"/>
      <c r="E42" s="394"/>
      <c r="F42" s="394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</row>
    <row r="43" spans="1:282" s="4" customFormat="1" x14ac:dyDescent="0.25">
      <c r="A43" s="394" t="str">
        <f ca="1">EW121</f>
        <v>- No rights can be derived from this calculation tool.</v>
      </c>
      <c r="B43" s="394"/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91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9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0"/>
      <c r="CQ43" s="80"/>
      <c r="CR43" s="80"/>
      <c r="CS43" s="80"/>
      <c r="CT43" s="80"/>
      <c r="CU43" s="80"/>
      <c r="CV43" s="80"/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/>
      <c r="DU43" s="80"/>
      <c r="DV43" s="80"/>
      <c r="DW43" s="80"/>
      <c r="DX43" s="80"/>
      <c r="DY43" s="80"/>
      <c r="DZ43" s="80"/>
      <c r="EA43" s="80"/>
      <c r="EB43" s="80"/>
      <c r="EC43" s="80"/>
      <c r="ED43" s="80"/>
      <c r="EE43" s="80"/>
      <c r="EF43" s="80"/>
      <c r="EG43" s="80"/>
      <c r="EH43" s="80"/>
      <c r="EI43" s="80"/>
      <c r="EJ43" s="80"/>
      <c r="EK43" s="80"/>
      <c r="EL43" s="80"/>
      <c r="EM43" s="80"/>
      <c r="EN43" s="80"/>
      <c r="EO43" s="80"/>
      <c r="EP43" s="80"/>
      <c r="EQ43" s="80"/>
      <c r="ER43" s="80"/>
      <c r="ES43" s="80"/>
      <c r="ET43" s="80"/>
      <c r="EU43" s="80"/>
      <c r="EV43" s="80"/>
      <c r="EW43" s="80"/>
      <c r="EX43" s="80"/>
      <c r="EY43" s="80"/>
      <c r="EZ43" s="80"/>
      <c r="FA43" s="80"/>
      <c r="FB43" s="80"/>
      <c r="FC43" s="80"/>
      <c r="FD43" s="80"/>
      <c r="FE43" s="80"/>
      <c r="FF43" s="80"/>
      <c r="FG43" s="80"/>
      <c r="FH43" s="80"/>
      <c r="FI43" s="80"/>
      <c r="FJ43" s="80"/>
      <c r="FK43" s="80"/>
      <c r="FL43" s="80"/>
      <c r="FM43" s="80"/>
      <c r="FN43" s="80"/>
      <c r="FO43" s="80"/>
      <c r="FP43" s="80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/>
    </row>
    <row r="44" spans="1:282" s="4" customFormat="1" x14ac:dyDescent="0.25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91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  <c r="CT44" s="80"/>
      <c r="CU44" s="80"/>
      <c r="CV44" s="80"/>
      <c r="CW44" s="80"/>
      <c r="CX44" s="80"/>
      <c r="CY44" s="80"/>
      <c r="CZ44" s="80"/>
      <c r="DA44" s="80"/>
      <c r="DB44" s="80"/>
      <c r="DC44" s="80"/>
      <c r="DD44" s="80"/>
      <c r="DE44" s="80"/>
      <c r="DF44" s="80"/>
      <c r="DG44" s="80"/>
      <c r="DH44" s="80"/>
      <c r="DI44" s="80"/>
      <c r="DJ44" s="80"/>
      <c r="DK44" s="80"/>
      <c r="DL44" s="80"/>
      <c r="DM44" s="80"/>
      <c r="DN44" s="80"/>
      <c r="DO44" s="80"/>
      <c r="DP44" s="80"/>
      <c r="DQ44" s="80"/>
      <c r="DR44" s="80"/>
      <c r="DS44" s="80"/>
      <c r="DT44" s="80"/>
      <c r="DU44" s="80"/>
      <c r="DV44" s="80"/>
      <c r="DW44" s="80"/>
      <c r="DX44" s="80"/>
      <c r="DY44" s="80"/>
      <c r="DZ44" s="80"/>
      <c r="EA44" s="80"/>
      <c r="EB44" s="80"/>
      <c r="EC44" s="80"/>
      <c r="ED44" s="80"/>
      <c r="EE44" s="80"/>
      <c r="EF44" s="80"/>
      <c r="EG44" s="80"/>
      <c r="EH44" s="80"/>
      <c r="EI44" s="80"/>
      <c r="EJ44" s="80"/>
      <c r="EK44" s="80"/>
      <c r="EL44" s="80"/>
      <c r="EM44" s="80"/>
      <c r="EN44" s="80"/>
      <c r="EO44" s="80"/>
      <c r="EP44" s="80"/>
      <c r="EQ44" s="80"/>
      <c r="ER44" s="80"/>
      <c r="ES44" s="80"/>
      <c r="ET44" s="80"/>
      <c r="EU44" s="80"/>
      <c r="EV44" s="80"/>
      <c r="EW44" s="80"/>
      <c r="EX44" s="80"/>
      <c r="EY44" s="80"/>
      <c r="EZ44" s="80"/>
      <c r="FA44" s="80"/>
      <c r="FB44" s="80"/>
      <c r="FC44" s="80"/>
      <c r="FD44" s="80"/>
      <c r="FE44" s="80"/>
      <c r="FF44" s="80"/>
      <c r="FG44" s="80"/>
      <c r="FH44" s="80"/>
      <c r="FI44" s="80"/>
      <c r="FJ44" s="80"/>
      <c r="FK44" s="80"/>
      <c r="FL44" s="80"/>
      <c r="FM44" s="80"/>
      <c r="FN44" s="80"/>
      <c r="FO44" s="80"/>
      <c r="FP44" s="80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/>
    </row>
    <row r="45" spans="1:282" s="4" customFormat="1" ht="15" hidden="1" customHeight="1" x14ac:dyDescent="0.25">
      <c r="R45" s="31"/>
      <c r="T45" s="31"/>
      <c r="BC45" s="12"/>
    </row>
    <row r="46" spans="1:282" s="4" customFormat="1" ht="15" hidden="1" customHeight="1" thickBot="1" x14ac:dyDescent="0.3">
      <c r="A46" s="59" t="s">
        <v>101</v>
      </c>
      <c r="B46" s="31"/>
      <c r="C46" s="31"/>
      <c r="D46" s="31"/>
      <c r="E46" s="31"/>
      <c r="F46" s="31"/>
      <c r="G46" s="363" t="s">
        <v>92</v>
      </c>
      <c r="H46" s="484"/>
      <c r="I46" s="488" t="s">
        <v>124</v>
      </c>
      <c r="J46" s="363" t="s">
        <v>30</v>
      </c>
      <c r="K46" s="31"/>
      <c r="Q46" s="31"/>
      <c r="R46" s="484" t="s">
        <v>233</v>
      </c>
      <c r="T46" s="484" t="s">
        <v>137</v>
      </c>
      <c r="U46" s="438" t="s">
        <v>135</v>
      </c>
      <c r="V46" s="434"/>
      <c r="W46" s="434"/>
      <c r="X46" s="435"/>
      <c r="Y46" s="439" t="s">
        <v>81</v>
      </c>
      <c r="Z46" s="439"/>
      <c r="AA46" s="439"/>
      <c r="AB46" s="439"/>
      <c r="AC46" s="439"/>
      <c r="AD46" s="439"/>
      <c r="AE46" s="439"/>
      <c r="AF46" s="440"/>
      <c r="AG46" s="434" t="s">
        <v>143</v>
      </c>
      <c r="AH46" s="434"/>
      <c r="AI46" s="434"/>
      <c r="AJ46" s="435"/>
      <c r="AK46" s="430" t="s">
        <v>40</v>
      </c>
      <c r="AL46" s="430"/>
      <c r="AM46" s="430"/>
      <c r="AN46" s="430"/>
      <c r="AO46" s="430"/>
      <c r="AP46" s="430"/>
      <c r="AQ46" s="430"/>
      <c r="AR46" s="431"/>
      <c r="AS46" s="430" t="s">
        <v>84</v>
      </c>
      <c r="AT46" s="430"/>
      <c r="AU46" s="430"/>
      <c r="AV46" s="431"/>
      <c r="AW46" s="430" t="s">
        <v>85</v>
      </c>
      <c r="AX46" s="430"/>
      <c r="AY46" s="430"/>
      <c r="AZ46" s="431"/>
      <c r="BA46" s="284" t="s">
        <v>86</v>
      </c>
      <c r="BB46" s="284"/>
      <c r="BC46" s="430" t="s">
        <v>87</v>
      </c>
      <c r="BD46" s="430"/>
      <c r="BE46" s="430"/>
      <c r="BF46" s="431"/>
      <c r="BG46" s="284" t="s">
        <v>88</v>
      </c>
      <c r="BH46" s="284"/>
      <c r="BI46" s="284"/>
      <c r="BJ46" s="360"/>
      <c r="BK46" s="284" t="s">
        <v>89</v>
      </c>
      <c r="BL46" s="284"/>
      <c r="BM46" s="284"/>
      <c r="BN46" s="360"/>
      <c r="BO46" s="359" t="s">
        <v>90</v>
      </c>
      <c r="BP46" s="360"/>
      <c r="BQ46" s="518" t="s">
        <v>346</v>
      </c>
      <c r="BR46" s="431"/>
      <c r="BT46" s="24"/>
      <c r="BV46" s="351" t="s">
        <v>292</v>
      </c>
      <c r="BW46" s="351"/>
      <c r="BX46" s="351"/>
      <c r="BY46" s="351"/>
      <c r="BZ46" s="351"/>
      <c r="CA46" s="351"/>
      <c r="CB46" s="351"/>
      <c r="CC46" s="351"/>
      <c r="CD46" s="351"/>
    </row>
    <row r="47" spans="1:282" s="4" customFormat="1" hidden="1" x14ac:dyDescent="0.25">
      <c r="F47" s="31"/>
      <c r="G47" s="363"/>
      <c r="H47" s="484"/>
      <c r="I47" s="488"/>
      <c r="J47" s="363"/>
      <c r="K47" s="31"/>
      <c r="Q47" s="31"/>
      <c r="R47" s="484"/>
      <c r="T47" s="484"/>
      <c r="U47" s="438"/>
      <c r="V47" s="434"/>
      <c r="W47" s="434"/>
      <c r="X47" s="435"/>
      <c r="Y47" s="439"/>
      <c r="Z47" s="439"/>
      <c r="AA47" s="439"/>
      <c r="AB47" s="439"/>
      <c r="AC47" s="439"/>
      <c r="AD47" s="439"/>
      <c r="AE47" s="439"/>
      <c r="AF47" s="440"/>
      <c r="AG47" s="434"/>
      <c r="AH47" s="434"/>
      <c r="AI47" s="434"/>
      <c r="AJ47" s="435"/>
      <c r="AK47" s="430"/>
      <c r="AL47" s="430"/>
      <c r="AM47" s="430"/>
      <c r="AN47" s="430"/>
      <c r="AO47" s="430"/>
      <c r="AP47" s="430"/>
      <c r="AQ47" s="430"/>
      <c r="AR47" s="431"/>
      <c r="AS47" s="430"/>
      <c r="AT47" s="430"/>
      <c r="AU47" s="430"/>
      <c r="AV47" s="431"/>
      <c r="AW47" s="430"/>
      <c r="AX47" s="430"/>
      <c r="AY47" s="430"/>
      <c r="AZ47" s="431"/>
      <c r="BA47" s="284"/>
      <c r="BB47" s="284"/>
      <c r="BC47" s="430"/>
      <c r="BD47" s="430"/>
      <c r="BE47" s="430"/>
      <c r="BF47" s="431"/>
      <c r="BG47" s="284"/>
      <c r="BH47" s="284"/>
      <c r="BI47" s="284"/>
      <c r="BJ47" s="360"/>
      <c r="BK47" s="284"/>
      <c r="BL47" s="284"/>
      <c r="BM47" s="284"/>
      <c r="BN47" s="360"/>
      <c r="BO47" s="359"/>
      <c r="BP47" s="360"/>
      <c r="BQ47" s="518"/>
      <c r="BR47" s="431"/>
      <c r="BV47" s="325" t="s">
        <v>293</v>
      </c>
      <c r="BW47" s="325"/>
      <c r="BX47" s="325"/>
      <c r="BY47" s="339"/>
      <c r="BZ47" s="494" t="str">
        <f>E11</f>
        <v>FMS (Shuttle)</v>
      </c>
      <c r="CA47" s="250"/>
      <c r="CB47" s="250"/>
      <c r="CC47" s="250"/>
      <c r="CD47" s="250"/>
      <c r="CE47" s="208" t="str">
        <f ca="1">"Rij "&amp;57+G56</f>
        <v>Rij 58</v>
      </c>
      <c r="CG47" s="12" t="s">
        <v>332</v>
      </c>
      <c r="CH47" s="208">
        <f ca="1">K56</f>
        <v>1</v>
      </c>
    </row>
    <row r="48" spans="1:282" s="4" customFormat="1" hidden="1" x14ac:dyDescent="0.25">
      <c r="F48" s="31"/>
      <c r="G48" s="363"/>
      <c r="H48" s="484"/>
      <c r="I48" s="488"/>
      <c r="J48" s="363"/>
      <c r="K48" s="31"/>
      <c r="L48" s="31"/>
      <c r="M48" s="31"/>
      <c r="N48" s="31"/>
      <c r="O48" s="31"/>
      <c r="P48" s="31"/>
      <c r="Q48" s="31"/>
      <c r="R48" s="484"/>
      <c r="T48" s="484"/>
      <c r="U48" s="438"/>
      <c r="V48" s="434"/>
      <c r="W48" s="434"/>
      <c r="X48" s="435"/>
      <c r="Y48" s="439"/>
      <c r="Z48" s="439"/>
      <c r="AA48" s="439"/>
      <c r="AB48" s="439"/>
      <c r="AC48" s="439"/>
      <c r="AD48" s="439"/>
      <c r="AE48" s="439"/>
      <c r="AF48" s="440"/>
      <c r="AG48" s="434"/>
      <c r="AH48" s="434"/>
      <c r="AI48" s="434"/>
      <c r="AJ48" s="435"/>
      <c r="AK48" s="430"/>
      <c r="AL48" s="430"/>
      <c r="AM48" s="430"/>
      <c r="AN48" s="430"/>
      <c r="AO48" s="430"/>
      <c r="AP48" s="430"/>
      <c r="AQ48" s="430"/>
      <c r="AR48" s="431"/>
      <c r="AS48" s="430"/>
      <c r="AT48" s="430"/>
      <c r="AU48" s="430"/>
      <c r="AV48" s="431"/>
      <c r="AW48" s="430"/>
      <c r="AX48" s="430"/>
      <c r="AY48" s="430"/>
      <c r="AZ48" s="431"/>
      <c r="BA48" s="284"/>
      <c r="BB48" s="284"/>
      <c r="BC48" s="430"/>
      <c r="BD48" s="430"/>
      <c r="BE48" s="430"/>
      <c r="BF48" s="431"/>
      <c r="BG48" s="284"/>
      <c r="BH48" s="284"/>
      <c r="BI48" s="284"/>
      <c r="BJ48" s="360"/>
      <c r="BK48" s="284"/>
      <c r="BL48" s="284"/>
      <c r="BM48" s="284"/>
      <c r="BN48" s="360"/>
      <c r="BO48" s="359"/>
      <c r="BP48" s="360"/>
      <c r="BQ48" s="518"/>
      <c r="BR48" s="431"/>
      <c r="BV48" s="325" t="s">
        <v>294</v>
      </c>
      <c r="BW48" s="325"/>
      <c r="BX48" s="325"/>
      <c r="BY48" s="339"/>
      <c r="BZ48" s="494">
        <f>E13</f>
        <v>100</v>
      </c>
      <c r="CA48" s="250"/>
      <c r="CB48" s="250"/>
      <c r="CC48" s="250"/>
      <c r="CD48" s="250"/>
      <c r="CG48" s="12" t="s">
        <v>331</v>
      </c>
      <c r="CH48" s="208">
        <f ca="1">L56</f>
        <v>1</v>
      </c>
      <c r="DF48" s="29"/>
      <c r="DG48"/>
      <c r="DH48"/>
      <c r="DI48"/>
      <c r="DJ48"/>
      <c r="DK48"/>
      <c r="DL48"/>
      <c r="DM48"/>
      <c r="EF48"/>
      <c r="EG48"/>
    </row>
    <row r="49" spans="1:157" s="4" customFormat="1" ht="15" hidden="1" customHeight="1" x14ac:dyDescent="0.25">
      <c r="F49" s="11"/>
      <c r="G49" s="363"/>
      <c r="H49" s="484"/>
      <c r="I49" s="488"/>
      <c r="J49" s="363"/>
      <c r="K49" s="11"/>
      <c r="L49" s="11"/>
      <c r="M49" s="11"/>
      <c r="N49" s="11"/>
      <c r="O49" s="11"/>
      <c r="P49" s="11"/>
      <c r="Q49" s="11"/>
      <c r="R49" s="484"/>
      <c r="T49" s="484"/>
      <c r="U49" s="438"/>
      <c r="V49" s="434"/>
      <c r="W49" s="434"/>
      <c r="X49" s="435"/>
      <c r="Y49" s="439"/>
      <c r="Z49" s="439"/>
      <c r="AA49" s="439"/>
      <c r="AB49" s="439"/>
      <c r="AC49" s="439"/>
      <c r="AD49" s="439"/>
      <c r="AE49" s="439"/>
      <c r="AF49" s="440"/>
      <c r="AG49" s="434"/>
      <c r="AH49" s="434"/>
      <c r="AI49" s="434"/>
      <c r="AJ49" s="435"/>
      <c r="AK49" s="430"/>
      <c r="AL49" s="430"/>
      <c r="AM49" s="430"/>
      <c r="AN49" s="430"/>
      <c r="AO49" s="430"/>
      <c r="AP49" s="430"/>
      <c r="AQ49" s="430"/>
      <c r="AR49" s="431"/>
      <c r="AS49" s="430"/>
      <c r="AT49" s="430"/>
      <c r="AU49" s="430"/>
      <c r="AV49" s="431"/>
      <c r="AW49" s="430"/>
      <c r="AX49" s="430"/>
      <c r="AY49" s="430"/>
      <c r="AZ49" s="431"/>
      <c r="BA49" s="284"/>
      <c r="BB49" s="284"/>
      <c r="BC49" s="430"/>
      <c r="BD49" s="430"/>
      <c r="BE49" s="430"/>
      <c r="BF49" s="431"/>
      <c r="BG49" s="284"/>
      <c r="BH49" s="284"/>
      <c r="BI49" s="284"/>
      <c r="BJ49" s="360"/>
      <c r="BK49" s="284"/>
      <c r="BL49" s="284"/>
      <c r="BM49" s="284"/>
      <c r="BN49" s="360"/>
      <c r="BO49" s="359"/>
      <c r="BP49" s="360"/>
      <c r="BQ49" s="518"/>
      <c r="BR49" s="431"/>
      <c r="BV49" s="325" t="s">
        <v>295</v>
      </c>
      <c r="BW49" s="325"/>
      <c r="BX49" s="325"/>
      <c r="BY49" s="339"/>
      <c r="BZ49" s="494" t="str">
        <f>E15</f>
        <v>Easywave</v>
      </c>
      <c r="CA49" s="250"/>
      <c r="CB49" s="250"/>
      <c r="CC49" s="250"/>
      <c r="CD49" s="250"/>
      <c r="CG49" s="12" t="s">
        <v>333</v>
      </c>
      <c r="CH49" s="208">
        <f ca="1">M56</f>
        <v>1</v>
      </c>
      <c r="DD49" s="30"/>
      <c r="DE49" s="216"/>
      <c r="DF49" s="216"/>
      <c r="DH49"/>
      <c r="DI49"/>
      <c r="DJ49"/>
      <c r="DL49"/>
      <c r="DM49"/>
      <c r="EF49"/>
      <c r="EG49"/>
    </row>
    <row r="50" spans="1:157" s="4" customFormat="1" ht="15" hidden="1" customHeight="1" x14ac:dyDescent="0.25">
      <c r="G50" s="363"/>
      <c r="H50" s="484"/>
      <c r="I50" s="488"/>
      <c r="J50" s="363"/>
      <c r="R50" s="484"/>
      <c r="T50" s="484"/>
      <c r="U50" s="438"/>
      <c r="V50" s="434"/>
      <c r="W50" s="434"/>
      <c r="X50" s="435"/>
      <c r="Y50" s="439"/>
      <c r="Z50" s="439"/>
      <c r="AA50" s="439"/>
      <c r="AB50" s="439"/>
      <c r="AC50" s="439"/>
      <c r="AD50" s="439"/>
      <c r="AE50" s="439"/>
      <c r="AF50" s="440"/>
      <c r="AG50" s="434"/>
      <c r="AH50" s="434"/>
      <c r="AI50" s="434"/>
      <c r="AJ50" s="435"/>
      <c r="AK50" s="430"/>
      <c r="AL50" s="430"/>
      <c r="AM50" s="430"/>
      <c r="AN50" s="430"/>
      <c r="AO50" s="430"/>
      <c r="AP50" s="430"/>
      <c r="AQ50" s="430"/>
      <c r="AR50" s="431"/>
      <c r="AS50" s="430"/>
      <c r="AT50" s="430"/>
      <c r="AU50" s="430"/>
      <c r="AV50" s="431"/>
      <c r="AW50" s="430"/>
      <c r="AX50" s="430"/>
      <c r="AY50" s="430"/>
      <c r="AZ50" s="431"/>
      <c r="BA50" s="284"/>
      <c r="BB50" s="284"/>
      <c r="BC50" s="430"/>
      <c r="BD50" s="430"/>
      <c r="BE50" s="430"/>
      <c r="BF50" s="431"/>
      <c r="BG50" s="284"/>
      <c r="BH50" s="284"/>
      <c r="BI50" s="284"/>
      <c r="BJ50" s="360"/>
      <c r="BK50" s="284"/>
      <c r="BL50" s="284"/>
      <c r="BM50" s="284"/>
      <c r="BN50" s="360"/>
      <c r="BO50" s="359"/>
      <c r="BP50" s="360"/>
      <c r="BQ50" s="518"/>
      <c r="BR50" s="431"/>
      <c r="BV50" s="325" t="s">
        <v>296</v>
      </c>
      <c r="BW50" s="325"/>
      <c r="BX50" s="325"/>
      <c r="BY50" s="339"/>
      <c r="BZ50" s="495" t="str">
        <f>E17</f>
        <v>8 cm (60%)</v>
      </c>
      <c r="CA50" s="496"/>
      <c r="CB50" s="496"/>
      <c r="CC50" s="496"/>
      <c r="CD50" s="496"/>
      <c r="CG50" s="12" t="s">
        <v>334</v>
      </c>
      <c r="CH50" s="208">
        <f ca="1">N56</f>
        <v>1</v>
      </c>
      <c r="DD50" s="30"/>
      <c r="DE50"/>
      <c r="DF50"/>
      <c r="DH50" s="211"/>
      <c r="DI50"/>
      <c r="DJ50"/>
      <c r="DL50"/>
      <c r="DM50"/>
      <c r="EF50"/>
      <c r="EG50"/>
    </row>
    <row r="51" spans="1:157" s="4" customFormat="1" hidden="1" x14ac:dyDescent="0.25">
      <c r="F51" s="11"/>
      <c r="G51" s="363"/>
      <c r="H51" s="484"/>
      <c r="I51" s="488"/>
      <c r="J51" s="363"/>
      <c r="K51" s="11"/>
      <c r="L51" s="11"/>
      <c r="M51" s="11"/>
      <c r="N51" s="11"/>
      <c r="O51" s="11"/>
      <c r="P51" s="11"/>
      <c r="Q51" s="11"/>
      <c r="R51" s="484"/>
      <c r="T51" s="484"/>
      <c r="U51" s="47"/>
      <c r="V51" s="48"/>
      <c r="W51" s="48"/>
      <c r="X51" s="49"/>
      <c r="Y51" s="323" t="s">
        <v>82</v>
      </c>
      <c r="Z51" s="323"/>
      <c r="AA51" s="323"/>
      <c r="AB51" s="323"/>
      <c r="AC51" s="355" t="s">
        <v>83</v>
      </c>
      <c r="AD51" s="355"/>
      <c r="AE51" s="355"/>
      <c r="AF51" s="356"/>
      <c r="AG51" s="11"/>
      <c r="AH51" s="11"/>
      <c r="AJ51" s="14"/>
      <c r="AK51" s="323" t="s">
        <v>82</v>
      </c>
      <c r="AL51" s="323"/>
      <c r="AM51" s="323"/>
      <c r="AN51" s="323"/>
      <c r="AO51" s="355" t="s">
        <v>83</v>
      </c>
      <c r="AP51" s="355"/>
      <c r="AQ51" s="355"/>
      <c r="AR51" s="356"/>
      <c r="AV51" s="14"/>
      <c r="AZ51" s="14"/>
      <c r="BA51" s="284"/>
      <c r="BB51" s="284"/>
      <c r="BF51" s="14"/>
      <c r="BJ51" s="14"/>
      <c r="BN51" s="14"/>
      <c r="BO51" s="359"/>
      <c r="BP51" s="360"/>
      <c r="BQ51" s="518"/>
      <c r="BR51" s="431"/>
      <c r="BV51" s="325" t="s">
        <v>297</v>
      </c>
      <c r="BW51" s="325"/>
      <c r="BX51" s="325"/>
      <c r="BY51" s="339"/>
      <c r="BZ51" s="494" t="str">
        <f>E19</f>
        <v>One-way draw</v>
      </c>
      <c r="CA51" s="250"/>
      <c r="CB51" s="250"/>
      <c r="CC51" s="250"/>
      <c r="CD51" s="250"/>
      <c r="CG51" s="12" t="s">
        <v>335</v>
      </c>
      <c r="CH51" s="208">
        <f ca="1">O56</f>
        <v>1</v>
      </c>
      <c r="DD51" s="30"/>
      <c r="DE51"/>
      <c r="DF51"/>
      <c r="DH51" s="211"/>
      <c r="DI51"/>
      <c r="DJ51"/>
      <c r="DL51"/>
      <c r="DM51"/>
      <c r="EF51"/>
      <c r="EG51"/>
    </row>
    <row r="52" spans="1:157" s="4" customFormat="1" ht="15" hidden="1" customHeight="1" x14ac:dyDescent="0.25">
      <c r="G52" s="363"/>
      <c r="H52" s="484"/>
      <c r="I52" s="488"/>
      <c r="J52" s="363"/>
      <c r="R52" s="484"/>
      <c r="T52" s="484"/>
      <c r="U52" s="359" t="s">
        <v>39</v>
      </c>
      <c r="V52" s="284"/>
      <c r="W52" s="284" t="s">
        <v>38</v>
      </c>
      <c r="X52" s="360"/>
      <c r="Y52" s="284" t="s">
        <v>39</v>
      </c>
      <c r="Z52" s="284"/>
      <c r="AA52" s="284" t="s">
        <v>38</v>
      </c>
      <c r="AB52" s="284"/>
      <c r="AC52" s="284" t="s">
        <v>39</v>
      </c>
      <c r="AD52" s="284"/>
      <c r="AE52" s="284" t="s">
        <v>38</v>
      </c>
      <c r="AF52" s="360"/>
      <c r="AG52" s="284" t="s">
        <v>82</v>
      </c>
      <c r="AH52" s="284"/>
      <c r="AI52" s="450" t="s">
        <v>83</v>
      </c>
      <c r="AJ52" s="451"/>
      <c r="AK52" s="284" t="s">
        <v>39</v>
      </c>
      <c r="AL52" s="284"/>
      <c r="AM52" s="284" t="s">
        <v>38</v>
      </c>
      <c r="AN52" s="284"/>
      <c r="AO52" s="284" t="s">
        <v>39</v>
      </c>
      <c r="AP52" s="284"/>
      <c r="AQ52" s="284" t="s">
        <v>38</v>
      </c>
      <c r="AR52" s="360"/>
      <c r="AS52" s="284" t="s">
        <v>82</v>
      </c>
      <c r="AT52" s="284"/>
      <c r="AU52" s="450" t="s">
        <v>83</v>
      </c>
      <c r="AV52" s="451"/>
      <c r="AW52" s="284" t="s">
        <v>82</v>
      </c>
      <c r="AX52" s="284"/>
      <c r="AY52" s="450" t="s">
        <v>83</v>
      </c>
      <c r="AZ52" s="451"/>
      <c r="BA52" s="284"/>
      <c r="BB52" s="284"/>
      <c r="BC52" s="284" t="s">
        <v>39</v>
      </c>
      <c r="BD52" s="284"/>
      <c r="BE52" s="284" t="s">
        <v>38</v>
      </c>
      <c r="BF52" s="360"/>
      <c r="BG52" s="284" t="s">
        <v>39</v>
      </c>
      <c r="BH52" s="284"/>
      <c r="BI52" s="284" t="s">
        <v>38</v>
      </c>
      <c r="BJ52" s="360"/>
      <c r="BK52" s="284" t="s">
        <v>82</v>
      </c>
      <c r="BL52" s="284"/>
      <c r="BM52" s="450" t="s">
        <v>83</v>
      </c>
      <c r="BN52" s="451"/>
      <c r="BO52" s="359"/>
      <c r="BP52" s="360"/>
      <c r="BQ52" s="518"/>
      <c r="BR52" s="431"/>
      <c r="BV52" s="325" t="s">
        <v>298</v>
      </c>
      <c r="BW52" s="325"/>
      <c r="BX52" s="325"/>
      <c r="BY52" s="339"/>
      <c r="BZ52" s="495" t="str">
        <f>E21</f>
        <v>Plastic</v>
      </c>
      <c r="CA52" s="496"/>
      <c r="CB52" s="496"/>
      <c r="CC52" s="496"/>
      <c r="CD52" s="496"/>
      <c r="CG52" s="12" t="s">
        <v>336</v>
      </c>
      <c r="CH52" s="208">
        <f ca="1">P56</f>
        <v>1</v>
      </c>
      <c r="DD52" s="30"/>
      <c r="DE52"/>
      <c r="DF52"/>
      <c r="DH52" s="211"/>
      <c r="DI52"/>
      <c r="DJ52"/>
      <c r="DL52"/>
      <c r="DM52"/>
      <c r="EF52"/>
      <c r="EG52"/>
    </row>
    <row r="53" spans="1:157" s="4" customFormat="1" ht="15" hidden="1" customHeight="1" x14ac:dyDescent="0.25">
      <c r="A53" s="11"/>
      <c r="B53" s="11"/>
      <c r="G53" s="363"/>
      <c r="H53" s="484"/>
      <c r="I53" s="488"/>
      <c r="J53" s="363"/>
      <c r="R53" s="484"/>
      <c r="T53" s="484"/>
      <c r="U53" s="359"/>
      <c r="V53" s="284"/>
      <c r="W53" s="284"/>
      <c r="X53" s="360"/>
      <c r="Y53" s="284"/>
      <c r="Z53" s="284"/>
      <c r="AA53" s="284"/>
      <c r="AB53" s="284"/>
      <c r="AC53" s="284"/>
      <c r="AD53" s="284"/>
      <c r="AE53" s="284"/>
      <c r="AF53" s="360"/>
      <c r="AG53" s="284"/>
      <c r="AH53" s="284"/>
      <c r="AI53" s="450"/>
      <c r="AJ53" s="451"/>
      <c r="AK53" s="284"/>
      <c r="AL53" s="284"/>
      <c r="AM53" s="284"/>
      <c r="AN53" s="284"/>
      <c r="AO53" s="284"/>
      <c r="AP53" s="284"/>
      <c r="AQ53" s="284"/>
      <c r="AR53" s="360"/>
      <c r="AS53" s="284"/>
      <c r="AT53" s="284"/>
      <c r="AU53" s="450"/>
      <c r="AV53" s="451"/>
      <c r="AW53" s="284"/>
      <c r="AX53" s="284"/>
      <c r="AY53" s="450"/>
      <c r="AZ53" s="451"/>
      <c r="BA53" s="284"/>
      <c r="BB53" s="284"/>
      <c r="BC53" s="284"/>
      <c r="BD53" s="284"/>
      <c r="BE53" s="284"/>
      <c r="BF53" s="360"/>
      <c r="BG53" s="284"/>
      <c r="BH53" s="284"/>
      <c r="BI53" s="284"/>
      <c r="BJ53" s="360"/>
      <c r="BK53" s="284"/>
      <c r="BL53" s="284"/>
      <c r="BM53" s="450"/>
      <c r="BN53" s="451"/>
      <c r="BO53" s="359"/>
      <c r="BP53" s="360"/>
      <c r="BQ53" s="518"/>
      <c r="BR53" s="431"/>
      <c r="BV53" s="348" t="s">
        <v>299</v>
      </c>
      <c r="BW53" s="348"/>
      <c r="BX53" s="348"/>
      <c r="BY53" s="349"/>
      <c r="BZ53" s="494">
        <f>E23</f>
        <v>0</v>
      </c>
      <c r="CA53" s="250"/>
      <c r="CB53" s="250"/>
      <c r="CC53" s="250"/>
      <c r="CD53" s="250"/>
      <c r="CG53" s="12" t="s">
        <v>337</v>
      </c>
      <c r="CH53" s="208">
        <f ca="1">Q56</f>
        <v>0</v>
      </c>
      <c r="DD53" s="30"/>
      <c r="DE53"/>
      <c r="DF53"/>
      <c r="DH53" s="211"/>
      <c r="DI53"/>
      <c r="DJ53"/>
      <c r="DL53" s="51"/>
      <c r="DM53" s="51"/>
      <c r="EF53" s="51"/>
      <c r="EG53" s="51"/>
    </row>
    <row r="54" spans="1:157" s="4" customFormat="1" ht="15" hidden="1" customHeight="1" x14ac:dyDescent="0.25">
      <c r="A54" s="323" t="s">
        <v>365</v>
      </c>
      <c r="B54" s="323"/>
      <c r="C54" s="323"/>
      <c r="D54" s="323"/>
      <c r="E54" s="323"/>
      <c r="F54" s="323"/>
      <c r="G54" s="363"/>
      <c r="H54" s="484"/>
      <c r="I54" s="488"/>
      <c r="J54" s="363"/>
      <c r="R54" s="484"/>
      <c r="T54" s="484"/>
      <c r="U54" s="359"/>
      <c r="V54" s="284"/>
      <c r="W54" s="284"/>
      <c r="X54" s="360"/>
      <c r="Y54" s="284"/>
      <c r="Z54" s="284"/>
      <c r="AA54" s="284"/>
      <c r="AB54" s="284"/>
      <c r="AC54" s="284"/>
      <c r="AD54" s="284"/>
      <c r="AE54" s="284"/>
      <c r="AF54" s="360"/>
      <c r="AG54" s="284"/>
      <c r="AH54" s="284"/>
      <c r="AI54" s="450"/>
      <c r="AJ54" s="451"/>
      <c r="AK54" s="284"/>
      <c r="AL54" s="284"/>
      <c r="AM54" s="284"/>
      <c r="AN54" s="284"/>
      <c r="AO54" s="284"/>
      <c r="AP54" s="284"/>
      <c r="AQ54" s="284"/>
      <c r="AR54" s="360"/>
      <c r="AS54" s="284"/>
      <c r="AT54" s="284"/>
      <c r="AU54" s="450"/>
      <c r="AV54" s="451"/>
      <c r="AW54" s="284"/>
      <c r="AX54" s="284"/>
      <c r="AY54" s="450"/>
      <c r="AZ54" s="451"/>
      <c r="BA54" s="284"/>
      <c r="BB54" s="284"/>
      <c r="BC54" s="284"/>
      <c r="BD54" s="284"/>
      <c r="BE54" s="284"/>
      <c r="BF54" s="360"/>
      <c r="BG54" s="284"/>
      <c r="BH54" s="284"/>
      <c r="BI54" s="284"/>
      <c r="BJ54" s="360"/>
      <c r="BK54" s="284"/>
      <c r="BL54" s="284"/>
      <c r="BM54" s="450"/>
      <c r="BN54" s="451"/>
      <c r="BO54" s="359"/>
      <c r="BP54" s="360"/>
      <c r="BQ54" s="518"/>
      <c r="BR54" s="431"/>
      <c r="BV54" s="348" t="s">
        <v>300</v>
      </c>
      <c r="BW54" s="348"/>
      <c r="BX54" s="348"/>
      <c r="BY54" s="349"/>
      <c r="BZ54" s="494">
        <f>E25</f>
        <v>0</v>
      </c>
      <c r="CA54" s="250"/>
      <c r="CB54" s="250"/>
      <c r="CC54" s="250"/>
      <c r="CD54" s="250"/>
      <c r="CG54" s="12" t="s">
        <v>338</v>
      </c>
      <c r="CH54" s="208">
        <f ca="1">R56</f>
        <v>1</v>
      </c>
      <c r="DD54" s="30"/>
      <c r="DE54"/>
      <c r="DF54"/>
      <c r="DH54" s="211"/>
      <c r="DI54"/>
      <c r="DJ54"/>
      <c r="DL54"/>
      <c r="DM54"/>
      <c r="EF54"/>
      <c r="EG54"/>
    </row>
    <row r="55" spans="1:157" s="4" customFormat="1" ht="15.75" hidden="1" customHeight="1" thickBot="1" x14ac:dyDescent="0.3">
      <c r="A55" s="487"/>
      <c r="B55" s="487"/>
      <c r="C55" s="487"/>
      <c r="D55" s="487"/>
      <c r="E55" s="487"/>
      <c r="F55" s="487"/>
      <c r="G55" s="364"/>
      <c r="H55" s="485"/>
      <c r="I55" s="489"/>
      <c r="J55" s="364"/>
      <c r="K55" s="56" t="s">
        <v>72</v>
      </c>
      <c r="L55" s="56" t="s">
        <v>73</v>
      </c>
      <c r="M55" s="56" t="s">
        <v>74</v>
      </c>
      <c r="N55" s="56" t="s">
        <v>75</v>
      </c>
      <c r="O55" s="56" t="s">
        <v>76</v>
      </c>
      <c r="P55" s="56" t="s">
        <v>77</v>
      </c>
      <c r="Q55" s="56" t="s">
        <v>1</v>
      </c>
      <c r="R55" s="485"/>
      <c r="S55" s="56" t="s">
        <v>80</v>
      </c>
      <c r="T55" s="485"/>
      <c r="U55" s="361" t="s">
        <v>41</v>
      </c>
      <c r="V55" s="343"/>
      <c r="W55" s="343" t="s">
        <v>42</v>
      </c>
      <c r="X55" s="344"/>
      <c r="Y55" s="343" t="s">
        <v>43</v>
      </c>
      <c r="Z55" s="343"/>
      <c r="AA55" s="343" t="s">
        <v>44</v>
      </c>
      <c r="AB55" s="343"/>
      <c r="AC55" s="343" t="s">
        <v>45</v>
      </c>
      <c r="AD55" s="343"/>
      <c r="AE55" s="343" t="s">
        <v>46</v>
      </c>
      <c r="AF55" s="344"/>
      <c r="AG55" s="343" t="s">
        <v>47</v>
      </c>
      <c r="AH55" s="343"/>
      <c r="AI55" s="343" t="s">
        <v>48</v>
      </c>
      <c r="AJ55" s="344"/>
      <c r="AK55" s="343" t="s">
        <v>49</v>
      </c>
      <c r="AL55" s="343"/>
      <c r="AM55" s="343" t="s">
        <v>50</v>
      </c>
      <c r="AN55" s="343"/>
      <c r="AO55" s="343" t="s">
        <v>51</v>
      </c>
      <c r="AP55" s="343"/>
      <c r="AQ55" s="343" t="s">
        <v>52</v>
      </c>
      <c r="AR55" s="344"/>
      <c r="AS55" s="343" t="s">
        <v>53</v>
      </c>
      <c r="AT55" s="343"/>
      <c r="AU55" s="343" t="s">
        <v>54</v>
      </c>
      <c r="AV55" s="344"/>
      <c r="AW55" s="343" t="s">
        <v>55</v>
      </c>
      <c r="AX55" s="343"/>
      <c r="AY55" s="343" t="s">
        <v>56</v>
      </c>
      <c r="AZ55" s="344"/>
      <c r="BA55" s="343" t="s">
        <v>57</v>
      </c>
      <c r="BB55" s="343"/>
      <c r="BC55" s="343" t="s">
        <v>58</v>
      </c>
      <c r="BD55" s="343"/>
      <c r="BE55" s="343" t="s">
        <v>59</v>
      </c>
      <c r="BF55" s="344"/>
      <c r="BG55" s="343" t="s">
        <v>60</v>
      </c>
      <c r="BH55" s="343"/>
      <c r="BI55" s="343" t="s">
        <v>61</v>
      </c>
      <c r="BJ55" s="344"/>
      <c r="BK55" s="343" t="s">
        <v>62</v>
      </c>
      <c r="BL55" s="343"/>
      <c r="BM55" s="343" t="s">
        <v>63</v>
      </c>
      <c r="BN55" s="344"/>
      <c r="BO55" s="361" t="s">
        <v>64</v>
      </c>
      <c r="BP55" s="344"/>
      <c r="BQ55" s="361" t="s">
        <v>345</v>
      </c>
      <c r="BR55" s="344"/>
      <c r="BV55" s="325" t="s">
        <v>301</v>
      </c>
      <c r="BW55" s="325"/>
      <c r="BX55" s="325"/>
      <c r="BY55" s="339"/>
      <c r="BZ55" s="519">
        <f>E27</f>
        <v>16</v>
      </c>
      <c r="CA55" s="520"/>
      <c r="CB55" s="520"/>
      <c r="CC55" s="520"/>
      <c r="CD55" s="520"/>
      <c r="CG55" s="12" t="s">
        <v>339</v>
      </c>
      <c r="CH55" s="208">
        <f ca="1">S56</f>
        <v>1</v>
      </c>
      <c r="DD55" s="30"/>
      <c r="DE55"/>
      <c r="DF55"/>
      <c r="DH55" s="211"/>
      <c r="DI55"/>
      <c r="DJ55"/>
      <c r="DL55"/>
      <c r="DM55"/>
      <c r="EF55"/>
      <c r="EG55"/>
    </row>
    <row r="56" spans="1:157" s="4" customFormat="1" ht="16.5" hidden="1" customHeight="1" thickTop="1" thickBot="1" x14ac:dyDescent="0.3">
      <c r="A56" s="490" t="s">
        <v>91</v>
      </c>
      <c r="B56" s="490"/>
      <c r="C56" s="490"/>
      <c r="D56" s="490"/>
      <c r="E56" s="490"/>
      <c r="F56" s="490"/>
      <c r="G56" s="491">
        <f ca="1">SUM(H58:H79)</f>
        <v>1</v>
      </c>
      <c r="H56" s="492"/>
      <c r="I56" s="75"/>
      <c r="J56" s="62" cm="1">
        <f t="array" aca="1" ref="J56:BR56" ca="1">OFFSET(J57:BR57,G56,0,1,61)</f>
        <v>1</v>
      </c>
      <c r="K56" s="63">
        <f ca="1"/>
        <v>1</v>
      </c>
      <c r="L56" s="56">
        <f ca="1"/>
        <v>1</v>
      </c>
      <c r="M56" s="56">
        <f ca="1"/>
        <v>1</v>
      </c>
      <c r="N56" s="56">
        <f ca="1"/>
        <v>1</v>
      </c>
      <c r="O56" s="56">
        <f ca="1"/>
        <v>1</v>
      </c>
      <c r="P56" s="56">
        <f ca="1"/>
        <v>1</v>
      </c>
      <c r="Q56" s="56">
        <f ca="1"/>
        <v>0</v>
      </c>
      <c r="R56" s="56">
        <f ca="1"/>
        <v>1</v>
      </c>
      <c r="S56" s="56">
        <f ca="1"/>
        <v>1</v>
      </c>
      <c r="T56" s="56">
        <f ca="1"/>
        <v>0</v>
      </c>
      <c r="U56" s="39">
        <f ca="1"/>
        <v>0</v>
      </c>
      <c r="V56" s="43">
        <f ca="1"/>
        <v>0</v>
      </c>
      <c r="W56" s="40">
        <f ca="1"/>
        <v>3.02</v>
      </c>
      <c r="X56" s="44">
        <f ca="1"/>
        <v>0</v>
      </c>
      <c r="Y56" s="41">
        <f ca="1"/>
        <v>-7.2</v>
      </c>
      <c r="Z56" s="45">
        <f ca="1"/>
        <v>0</v>
      </c>
      <c r="AA56" s="42">
        <f ca="1"/>
        <v>-6.9</v>
      </c>
      <c r="AB56" s="45">
        <f ca="1"/>
        <v>0</v>
      </c>
      <c r="AC56" s="40">
        <f ca="1"/>
        <v>0.75</v>
      </c>
      <c r="AD56" s="46">
        <f ca="1"/>
        <v>0</v>
      </c>
      <c r="AE56" s="40">
        <f ca="1"/>
        <v>1.45</v>
      </c>
      <c r="AF56" s="46">
        <f ca="1"/>
        <v>0</v>
      </c>
      <c r="AG56" s="52">
        <f ca="1"/>
        <v>2</v>
      </c>
      <c r="AH56" s="46">
        <f ca="1"/>
        <v>0</v>
      </c>
      <c r="AI56" s="40">
        <f ca="1"/>
        <v>1</v>
      </c>
      <c r="AJ56" s="46">
        <f ca="1"/>
        <v>0</v>
      </c>
      <c r="AK56" s="52">
        <f ca="1"/>
        <v>2</v>
      </c>
      <c r="AL56" s="46">
        <f ca="1"/>
        <v>0</v>
      </c>
      <c r="AM56" s="40">
        <f ca="1"/>
        <v>0</v>
      </c>
      <c r="AN56" s="46">
        <f ca="1"/>
        <v>0</v>
      </c>
      <c r="AO56" s="40">
        <f ca="1"/>
        <v>1</v>
      </c>
      <c r="AP56" s="46">
        <f ca="1"/>
        <v>0</v>
      </c>
      <c r="AQ56" s="40">
        <f ca="1"/>
        <v>0</v>
      </c>
      <c r="AR56" s="46">
        <f ca="1"/>
        <v>0</v>
      </c>
      <c r="AS56" s="52">
        <f ca="1"/>
        <v>1</v>
      </c>
      <c r="AT56" s="46">
        <f ca="1"/>
        <v>0</v>
      </c>
      <c r="AU56" s="40">
        <f ca="1"/>
        <v>0</v>
      </c>
      <c r="AV56" s="46">
        <f ca="1"/>
        <v>0</v>
      </c>
      <c r="AW56" s="52">
        <f ca="1"/>
        <v>1</v>
      </c>
      <c r="AX56" s="46">
        <f ca="1"/>
        <v>0</v>
      </c>
      <c r="AY56" s="40">
        <f ca="1"/>
        <v>0</v>
      </c>
      <c r="AZ56" s="46">
        <f ca="1"/>
        <v>0</v>
      </c>
      <c r="BA56" s="52">
        <f ca="1"/>
        <v>6.5</v>
      </c>
      <c r="BB56" s="46">
        <f ca="1"/>
        <v>0</v>
      </c>
      <c r="BC56" s="40">
        <f ca="1"/>
        <v>4</v>
      </c>
      <c r="BD56" s="46">
        <f ca="1"/>
        <v>0</v>
      </c>
      <c r="BE56" s="40">
        <f ca="1"/>
        <v>0</v>
      </c>
      <c r="BF56" s="46">
        <f ca="1"/>
        <v>0</v>
      </c>
      <c r="BG56" s="52">
        <f ca="1"/>
        <v>2</v>
      </c>
      <c r="BH56" s="46">
        <f ca="1"/>
        <v>0</v>
      </c>
      <c r="BI56" s="40">
        <f ca="1"/>
        <v>1</v>
      </c>
      <c r="BJ56" s="46">
        <f ca="1"/>
        <v>0</v>
      </c>
      <c r="BK56" s="52">
        <f ca="1"/>
        <v>8</v>
      </c>
      <c r="BL56" s="46">
        <f ca="1"/>
        <v>0</v>
      </c>
      <c r="BM56" s="40">
        <f ca="1"/>
        <v>2.9</v>
      </c>
      <c r="BN56" s="46">
        <f ca="1"/>
        <v>0</v>
      </c>
      <c r="BO56" s="53">
        <f ca="1"/>
        <v>1.5</v>
      </c>
      <c r="BP56" s="55">
        <f ca="1"/>
        <v>0</v>
      </c>
      <c r="BQ56" s="53">
        <f ca="1"/>
        <v>0</v>
      </c>
      <c r="BR56" s="55">
        <f ca="1"/>
        <v>0</v>
      </c>
      <c r="CD56"/>
      <c r="DD56" s="30"/>
      <c r="DE56"/>
      <c r="DF56"/>
      <c r="DH56" s="211"/>
      <c r="DI56"/>
      <c r="DJ56"/>
      <c r="DL56" s="50"/>
      <c r="DM56" s="50"/>
      <c r="EF56" s="50"/>
      <c r="EG56" s="50"/>
    </row>
    <row r="57" spans="1:157" s="4" customFormat="1" ht="4.5" hidden="1" customHeight="1" thickTop="1" thickBot="1" x14ac:dyDescent="0.3">
      <c r="A57" s="493"/>
      <c r="B57" s="493"/>
      <c r="C57" s="493"/>
      <c r="D57" s="493"/>
      <c r="E57" s="493"/>
      <c r="F57" s="493"/>
      <c r="G57" s="58"/>
      <c r="H57" s="76"/>
      <c r="I57" s="37"/>
      <c r="J57" s="37"/>
      <c r="K57" s="61"/>
      <c r="L57" s="37"/>
      <c r="M57" s="37"/>
      <c r="N57" s="37"/>
      <c r="O57" s="37"/>
      <c r="P57" s="37"/>
      <c r="Q57" s="37"/>
      <c r="R57" s="37"/>
      <c r="S57" s="37"/>
      <c r="T57" s="37"/>
      <c r="U57" s="390"/>
      <c r="V57" s="391"/>
      <c r="W57" s="345"/>
      <c r="X57" s="346"/>
      <c r="Y57" s="390"/>
      <c r="Z57" s="391"/>
      <c r="AA57" s="391"/>
      <c r="AB57" s="391"/>
      <c r="AC57" s="345"/>
      <c r="AD57" s="345"/>
      <c r="AE57" s="345"/>
      <c r="AF57" s="346"/>
      <c r="AG57" s="345"/>
      <c r="AH57" s="345"/>
      <c r="AI57" s="345"/>
      <c r="AJ57" s="346"/>
      <c r="AK57" s="345"/>
      <c r="AL57" s="345"/>
      <c r="AM57" s="345"/>
      <c r="AN57" s="345"/>
      <c r="AO57" s="345"/>
      <c r="AP57" s="345"/>
      <c r="AQ57" s="345"/>
      <c r="AR57" s="346"/>
      <c r="AS57" s="345"/>
      <c r="AT57" s="345"/>
      <c r="AU57" s="345"/>
      <c r="AV57" s="346"/>
      <c r="AW57" s="345"/>
      <c r="AX57" s="345"/>
      <c r="AY57" s="345"/>
      <c r="AZ57" s="346"/>
      <c r="BA57" s="345"/>
      <c r="BB57" s="345"/>
      <c r="BC57" s="345"/>
      <c r="BD57" s="345"/>
      <c r="BE57" s="345"/>
      <c r="BF57" s="346"/>
      <c r="BG57" s="345"/>
      <c r="BH57" s="345"/>
      <c r="BI57" s="345"/>
      <c r="BJ57" s="346"/>
      <c r="BK57" s="345"/>
      <c r="BL57" s="345"/>
      <c r="BM57" s="345"/>
      <c r="BN57" s="346"/>
      <c r="BO57" s="38"/>
      <c r="BP57" s="54"/>
      <c r="BQ57" s="38"/>
      <c r="BR57" s="54"/>
    </row>
    <row r="58" spans="1:157" s="4" customFormat="1" ht="16.5" hidden="1" thickTop="1" thickBot="1" x14ac:dyDescent="0.3">
      <c r="A58" s="313" t="str">
        <f ca="1">EW122</f>
        <v>FMS (Shuttle)</v>
      </c>
      <c r="B58" s="313"/>
      <c r="C58" s="313"/>
      <c r="D58" s="313"/>
      <c r="E58" s="313"/>
      <c r="F58" s="313"/>
      <c r="G58" s="13">
        <v>1</v>
      </c>
      <c r="H58" s="74">
        <f t="shared" ref="H58:H77" ca="1" si="0">IF(A58=$E$11,G58,0)</f>
        <v>1</v>
      </c>
      <c r="J58" s="13">
        <v>1</v>
      </c>
      <c r="K58" s="4">
        <v>1</v>
      </c>
      <c r="L58" s="4">
        <v>1</v>
      </c>
      <c r="M58" s="4">
        <v>1</v>
      </c>
      <c r="N58" s="4">
        <v>1</v>
      </c>
      <c r="O58" s="4">
        <v>1</v>
      </c>
      <c r="P58" s="4">
        <v>1</v>
      </c>
      <c r="R58" s="4">
        <v>1</v>
      </c>
      <c r="S58" s="4">
        <v>1</v>
      </c>
      <c r="U58" s="392">
        <v>0</v>
      </c>
      <c r="V58" s="393"/>
      <c r="W58" s="393">
        <v>3.02</v>
      </c>
      <c r="X58" s="452"/>
      <c r="Y58" s="392">
        <v>-7.2</v>
      </c>
      <c r="Z58" s="393"/>
      <c r="AA58" s="393">
        <v>-6.9</v>
      </c>
      <c r="AB58" s="393"/>
      <c r="AC58" s="393">
        <v>0.75</v>
      </c>
      <c r="AD58" s="393"/>
      <c r="AE58" s="393">
        <v>1.45</v>
      </c>
      <c r="AF58" s="452"/>
      <c r="AG58" s="392">
        <v>2</v>
      </c>
      <c r="AH58" s="393"/>
      <c r="AI58" s="393">
        <v>1</v>
      </c>
      <c r="AJ58" s="452"/>
      <c r="AK58" s="392">
        <v>2</v>
      </c>
      <c r="AL58" s="393"/>
      <c r="AM58" s="393">
        <v>0</v>
      </c>
      <c r="AN58" s="393"/>
      <c r="AO58" s="393">
        <v>1</v>
      </c>
      <c r="AP58" s="393"/>
      <c r="AQ58" s="393">
        <v>0</v>
      </c>
      <c r="AR58" s="452"/>
      <c r="AS58" s="392">
        <v>1</v>
      </c>
      <c r="AT58" s="393"/>
      <c r="AU58" s="350">
        <v>0</v>
      </c>
      <c r="AV58" s="453"/>
      <c r="AW58" s="392">
        <v>1</v>
      </c>
      <c r="AX58" s="393"/>
      <c r="AY58" s="393">
        <v>0</v>
      </c>
      <c r="AZ58" s="452"/>
      <c r="BA58" s="436">
        <v>6.5</v>
      </c>
      <c r="BB58" s="437"/>
      <c r="BC58" s="437">
        <v>4</v>
      </c>
      <c r="BD58" s="437"/>
      <c r="BE58" s="437"/>
      <c r="BF58" s="437"/>
      <c r="BG58" s="392">
        <v>2</v>
      </c>
      <c r="BH58" s="393"/>
      <c r="BI58" s="393">
        <v>1</v>
      </c>
      <c r="BJ58" s="452"/>
      <c r="BK58" s="392">
        <v>8</v>
      </c>
      <c r="BL58" s="393"/>
      <c r="BM58" s="393">
        <v>2.9</v>
      </c>
      <c r="BN58" s="452"/>
      <c r="BO58" s="302">
        <v>1.5</v>
      </c>
      <c r="BP58" s="303"/>
      <c r="BQ58" s="302">
        <v>0</v>
      </c>
      <c r="BR58" s="303"/>
      <c r="BV58" s="256" t="s">
        <v>71</v>
      </c>
      <c r="BW58" s="257"/>
      <c r="BX58" s="347">
        <f>IF($E$17=BA112,BX59,IF($E$17=BA113,BX60,BX61))</f>
        <v>7.9130000000000003</v>
      </c>
      <c r="BY58" s="259"/>
      <c r="BZ58" s="507" t="s">
        <v>309</v>
      </c>
      <c r="CA58" s="254"/>
      <c r="CB58" s="254"/>
      <c r="CC58" s="254"/>
      <c r="CD58" s="254"/>
      <c r="CE58" s="254"/>
      <c r="CF58" s="255"/>
      <c r="CH58" s="284" t="s">
        <v>127</v>
      </c>
      <c r="CI58" s="284"/>
      <c r="CJ58" s="284" t="s">
        <v>128</v>
      </c>
      <c r="CK58" s="284"/>
    </row>
    <row r="59" spans="1:157" s="4" customFormat="1" ht="15" hidden="1" customHeight="1" thickTop="1" x14ac:dyDescent="0.25">
      <c r="A59" s="313" t="str">
        <f t="shared" ref="A59:A79" ca="1" si="1">EW123</f>
        <v>FMS Plus</v>
      </c>
      <c r="B59" s="313"/>
      <c r="C59" s="313"/>
      <c r="D59" s="313"/>
      <c r="E59" s="313"/>
      <c r="F59" s="314"/>
      <c r="G59" s="13">
        <f>G58+1</f>
        <v>2</v>
      </c>
      <c r="H59" s="74">
        <f t="shared" ca="1" si="0"/>
        <v>0</v>
      </c>
      <c r="J59" s="13">
        <v>1</v>
      </c>
      <c r="K59" s="4">
        <v>2</v>
      </c>
      <c r="L59" s="4">
        <v>2</v>
      </c>
      <c r="M59" s="4">
        <v>2</v>
      </c>
      <c r="O59" s="4">
        <v>2</v>
      </c>
      <c r="S59" s="4">
        <v>2</v>
      </c>
      <c r="U59" s="304">
        <v>0</v>
      </c>
      <c r="V59" s="305"/>
      <c r="W59" s="305">
        <v>-1.5</v>
      </c>
      <c r="X59" s="308"/>
      <c r="Y59" s="304">
        <v>-2.5499999999999998</v>
      </c>
      <c r="Z59" s="305"/>
      <c r="AA59" s="305">
        <v>-1.87</v>
      </c>
      <c r="AB59" s="305"/>
      <c r="AC59" s="305"/>
      <c r="AD59" s="305"/>
      <c r="AE59" s="305"/>
      <c r="AF59" s="308"/>
      <c r="AG59" s="304">
        <v>1</v>
      </c>
      <c r="AH59" s="305"/>
      <c r="AI59" s="305">
        <v>2</v>
      </c>
      <c r="AJ59" s="308"/>
      <c r="AK59" s="302">
        <v>0</v>
      </c>
      <c r="AL59" s="301"/>
      <c r="AM59" s="301"/>
      <c r="AN59" s="301"/>
      <c r="AO59" s="301"/>
      <c r="AP59" s="301"/>
      <c r="AQ59" s="301"/>
      <c r="AR59" s="303"/>
      <c r="AS59" s="304">
        <v>0</v>
      </c>
      <c r="AT59" s="305"/>
      <c r="AU59" s="306">
        <v>1</v>
      </c>
      <c r="AV59" s="307"/>
      <c r="AW59" s="302">
        <v>1</v>
      </c>
      <c r="AX59" s="301"/>
      <c r="AY59" s="301"/>
      <c r="AZ59" s="303"/>
      <c r="BA59" s="302">
        <v>5.3</v>
      </c>
      <c r="BB59" s="301"/>
      <c r="BC59" s="301">
        <v>3.5</v>
      </c>
      <c r="BD59" s="301"/>
      <c r="BE59" s="301"/>
      <c r="BF59" s="301"/>
      <c r="BG59" s="302">
        <v>1</v>
      </c>
      <c r="BH59" s="301"/>
      <c r="BI59" s="301"/>
      <c r="BJ59" s="303"/>
      <c r="BK59" s="340">
        <v>4.25</v>
      </c>
      <c r="BL59" s="341"/>
      <c r="BM59" s="341">
        <v>8.8000000000000007</v>
      </c>
      <c r="BN59" s="342"/>
      <c r="BO59" s="302">
        <v>1.5</v>
      </c>
      <c r="BP59" s="303"/>
      <c r="BQ59" s="302">
        <v>1</v>
      </c>
      <c r="BR59" s="303"/>
      <c r="BV59" s="288"/>
      <c r="BW59" s="289"/>
      <c r="BX59" s="350">
        <v>5.4550000000000001</v>
      </c>
      <c r="BY59" s="350"/>
      <c r="BZ59" s="508" t="s">
        <v>308</v>
      </c>
      <c r="CA59" s="509"/>
      <c r="CB59" s="509"/>
      <c r="CC59" s="509"/>
      <c r="CD59" s="509"/>
      <c r="CE59" s="509"/>
      <c r="CF59" s="510"/>
      <c r="CH59" s="284"/>
      <c r="CI59" s="284"/>
      <c r="CJ59" s="284"/>
      <c r="CK59" s="284"/>
      <c r="DD59" s="30"/>
      <c r="DE59"/>
      <c r="DF59"/>
      <c r="DH59" s="211"/>
      <c r="DI59"/>
      <c r="DJ59"/>
      <c r="DL59" s="50"/>
      <c r="DM59" s="50"/>
    </row>
    <row r="60" spans="1:157" s="4" customFormat="1" ht="15" hidden="1" customHeight="1" x14ac:dyDescent="0.25">
      <c r="A60" s="313" t="str">
        <f t="shared" ca="1" si="1"/>
        <v>FMS Plus Recess</v>
      </c>
      <c r="B60" s="313"/>
      <c r="C60" s="313"/>
      <c r="D60" s="313"/>
      <c r="E60" s="313"/>
      <c r="F60" s="314"/>
      <c r="G60" s="13">
        <f t="shared" ref="G60:G76" si="2">G59+1</f>
        <v>3</v>
      </c>
      <c r="H60" s="74">
        <f t="shared" ca="1" si="0"/>
        <v>0</v>
      </c>
      <c r="J60" s="13">
        <v>1</v>
      </c>
      <c r="K60" s="4">
        <v>2</v>
      </c>
      <c r="L60" s="4">
        <v>2</v>
      </c>
      <c r="M60" s="4">
        <v>2</v>
      </c>
      <c r="O60" s="4">
        <v>2</v>
      </c>
      <c r="S60" s="4">
        <v>2</v>
      </c>
      <c r="U60" s="304">
        <v>0</v>
      </c>
      <c r="V60" s="305"/>
      <c r="W60" s="305">
        <v>-1.5</v>
      </c>
      <c r="X60" s="308"/>
      <c r="Y60" s="304">
        <v>-2.5499999999999998</v>
      </c>
      <c r="Z60" s="305"/>
      <c r="AA60" s="305">
        <v>-1.87</v>
      </c>
      <c r="AB60" s="305"/>
      <c r="AC60" s="305"/>
      <c r="AD60" s="305"/>
      <c r="AE60" s="305"/>
      <c r="AF60" s="308"/>
      <c r="AG60" s="304">
        <v>1</v>
      </c>
      <c r="AH60" s="305"/>
      <c r="AI60" s="305">
        <v>2</v>
      </c>
      <c r="AJ60" s="308"/>
      <c r="AK60" s="302">
        <v>0</v>
      </c>
      <c r="AL60" s="301"/>
      <c r="AM60" s="301"/>
      <c r="AN60" s="301"/>
      <c r="AO60" s="301"/>
      <c r="AP60" s="301"/>
      <c r="AQ60" s="301"/>
      <c r="AR60" s="303"/>
      <c r="AS60" s="304">
        <v>0</v>
      </c>
      <c r="AT60" s="305"/>
      <c r="AU60" s="306">
        <v>1</v>
      </c>
      <c r="AV60" s="307"/>
      <c r="AW60" s="302">
        <v>1</v>
      </c>
      <c r="AX60" s="301"/>
      <c r="AY60" s="301"/>
      <c r="AZ60" s="303"/>
      <c r="BA60" s="302">
        <v>6.25</v>
      </c>
      <c r="BB60" s="301"/>
      <c r="BC60" s="301">
        <v>3.5</v>
      </c>
      <c r="BD60" s="301"/>
      <c r="BE60" s="301"/>
      <c r="BF60" s="301"/>
      <c r="BG60" s="302">
        <v>1</v>
      </c>
      <c r="BH60" s="301"/>
      <c r="BI60" s="301"/>
      <c r="BJ60" s="303"/>
      <c r="BK60" s="340">
        <v>4.25</v>
      </c>
      <c r="BL60" s="341"/>
      <c r="BM60" s="341">
        <v>8.8000000000000007</v>
      </c>
      <c r="BN60" s="342"/>
      <c r="BO60" s="302">
        <v>1.5</v>
      </c>
      <c r="BP60" s="303"/>
      <c r="BQ60" s="302">
        <v>1</v>
      </c>
      <c r="BR60" s="303"/>
      <c r="BV60" s="252"/>
      <c r="BW60" s="251"/>
      <c r="BX60" s="250">
        <v>5.9290000000000003</v>
      </c>
      <c r="BY60" s="250"/>
      <c r="BZ60" s="512" t="s">
        <v>306</v>
      </c>
      <c r="CA60" s="513"/>
      <c r="CB60" s="513"/>
      <c r="CC60" s="513"/>
      <c r="CD60" s="513"/>
      <c r="CE60" s="513"/>
      <c r="CF60" s="514"/>
      <c r="CH60" s="284"/>
      <c r="CI60" s="284"/>
      <c r="CJ60" s="284"/>
      <c r="CK60" s="284"/>
      <c r="DD60" s="30"/>
      <c r="DE60"/>
      <c r="DF60"/>
      <c r="DH60" s="211"/>
      <c r="DI60"/>
      <c r="DJ60"/>
      <c r="DL60" s="50"/>
      <c r="DM60" s="50"/>
    </row>
    <row r="61" spans="1:157" s="4" customFormat="1" ht="15" hidden="1" customHeight="1" thickBot="1" x14ac:dyDescent="0.3">
      <c r="A61" s="313" t="str">
        <f t="shared" ca="1" si="1"/>
        <v>MRS</v>
      </c>
      <c r="B61" s="313"/>
      <c r="C61" s="313"/>
      <c r="D61" s="313"/>
      <c r="E61" s="313"/>
      <c r="F61" s="314"/>
      <c r="G61" s="13">
        <f t="shared" si="2"/>
        <v>4</v>
      </c>
      <c r="H61" s="74">
        <f t="shared" ca="1" si="0"/>
        <v>0</v>
      </c>
      <c r="J61" s="13">
        <v>1</v>
      </c>
      <c r="L61" s="4">
        <v>1</v>
      </c>
      <c r="M61" s="4">
        <v>1</v>
      </c>
      <c r="N61" s="4">
        <v>1</v>
      </c>
      <c r="O61" s="4">
        <v>1</v>
      </c>
      <c r="P61" s="4">
        <v>1</v>
      </c>
      <c r="R61" s="4">
        <v>1</v>
      </c>
      <c r="S61" s="4">
        <v>1</v>
      </c>
      <c r="U61" s="302">
        <v>0</v>
      </c>
      <c r="V61" s="301"/>
      <c r="W61" s="301"/>
      <c r="X61" s="303"/>
      <c r="Y61" s="312">
        <v>-7.2</v>
      </c>
      <c r="Z61" s="313"/>
      <c r="AA61" s="313">
        <v>-6.9</v>
      </c>
      <c r="AB61" s="313"/>
      <c r="AC61" s="313">
        <v>0.75</v>
      </c>
      <c r="AD61" s="313"/>
      <c r="AE61" s="313">
        <v>1.45</v>
      </c>
      <c r="AF61" s="314"/>
      <c r="AG61" s="312">
        <v>3</v>
      </c>
      <c r="AH61" s="313"/>
      <c r="AI61" s="313">
        <v>2</v>
      </c>
      <c r="AJ61" s="314"/>
      <c r="AK61" s="312">
        <v>3</v>
      </c>
      <c r="AL61" s="313"/>
      <c r="AM61" s="313">
        <v>3</v>
      </c>
      <c r="AN61" s="313"/>
      <c r="AO61" s="313">
        <v>2</v>
      </c>
      <c r="AP61" s="313"/>
      <c r="AQ61" s="313">
        <v>2</v>
      </c>
      <c r="AR61" s="314"/>
      <c r="AS61" s="312">
        <v>0</v>
      </c>
      <c r="AT61" s="313"/>
      <c r="AU61" s="250">
        <v>1</v>
      </c>
      <c r="AV61" s="315"/>
      <c r="AW61" s="312">
        <v>0</v>
      </c>
      <c r="AX61" s="313"/>
      <c r="AY61" s="250">
        <v>1</v>
      </c>
      <c r="AZ61" s="315"/>
      <c r="BA61" s="302">
        <v>12</v>
      </c>
      <c r="BB61" s="301"/>
      <c r="BC61" s="301">
        <v>12</v>
      </c>
      <c r="BD61" s="301"/>
      <c r="BE61" s="301"/>
      <c r="BF61" s="301"/>
      <c r="BG61" s="312">
        <v>2</v>
      </c>
      <c r="BH61" s="313"/>
      <c r="BI61" s="250">
        <v>1</v>
      </c>
      <c r="BJ61" s="315"/>
      <c r="BK61" s="312">
        <v>8</v>
      </c>
      <c r="BL61" s="313"/>
      <c r="BM61" s="313">
        <v>2.9</v>
      </c>
      <c r="BN61" s="314"/>
      <c r="BO61" s="302">
        <v>0</v>
      </c>
      <c r="BP61" s="303"/>
      <c r="BQ61" s="302">
        <v>0</v>
      </c>
      <c r="BR61" s="303"/>
      <c r="BV61" s="241"/>
      <c r="BW61" s="242"/>
      <c r="BX61" s="351">
        <v>7.9130000000000003</v>
      </c>
      <c r="BY61" s="351"/>
      <c r="BZ61" s="515" t="s">
        <v>307</v>
      </c>
      <c r="CA61" s="516"/>
      <c r="CB61" s="516"/>
      <c r="CC61" s="516"/>
      <c r="CD61" s="516"/>
      <c r="CE61" s="516"/>
      <c r="CF61" s="517"/>
      <c r="CH61" s="284"/>
      <c r="CI61" s="284"/>
      <c r="CJ61" s="284"/>
      <c r="CK61" s="284"/>
      <c r="DD61" s="30"/>
      <c r="DE61"/>
      <c r="DF61"/>
      <c r="DH61" s="211"/>
      <c r="DI61"/>
      <c r="DJ61"/>
      <c r="DL61" s="217"/>
      <c r="DM61" s="217"/>
    </row>
    <row r="62" spans="1:157" s="4" customFormat="1" ht="15.75" hidden="1" thickBot="1" x14ac:dyDescent="0.3">
      <c r="A62" s="313" t="str">
        <f t="shared" ca="1" si="1"/>
        <v>CCS</v>
      </c>
      <c r="B62" s="313"/>
      <c r="C62" s="313"/>
      <c r="D62" s="313"/>
      <c r="E62" s="313"/>
      <c r="F62" s="314"/>
      <c r="G62" s="13">
        <f t="shared" si="2"/>
        <v>5</v>
      </c>
      <c r="H62" s="74">
        <f t="shared" ca="1" si="0"/>
        <v>0</v>
      </c>
      <c r="J62" s="13">
        <v>3</v>
      </c>
      <c r="K62" s="4">
        <v>2</v>
      </c>
      <c r="L62" s="4">
        <v>2</v>
      </c>
      <c r="Q62" s="4">
        <v>1</v>
      </c>
      <c r="U62" s="304">
        <v>0</v>
      </c>
      <c r="V62" s="305"/>
      <c r="W62" s="305">
        <v>0.8</v>
      </c>
      <c r="X62" s="308"/>
      <c r="Y62" s="304">
        <v>-7.2</v>
      </c>
      <c r="Z62" s="305"/>
      <c r="AA62" s="305">
        <v>-6.7</v>
      </c>
      <c r="AB62" s="305"/>
      <c r="AC62" s="305"/>
      <c r="AD62" s="305"/>
      <c r="AE62" s="305"/>
      <c r="AF62" s="308"/>
      <c r="AG62" s="302">
        <v>2</v>
      </c>
      <c r="AH62" s="301"/>
      <c r="AI62" s="301"/>
      <c r="AJ62" s="303"/>
      <c r="AK62" s="302">
        <v>2</v>
      </c>
      <c r="AL62" s="301"/>
      <c r="AM62" s="301"/>
      <c r="AN62" s="301"/>
      <c r="AO62" s="301"/>
      <c r="AP62" s="301"/>
      <c r="AQ62" s="301"/>
      <c r="AR62" s="303"/>
      <c r="AS62" s="302">
        <v>1</v>
      </c>
      <c r="AT62" s="301"/>
      <c r="AU62" s="301"/>
      <c r="AV62" s="303"/>
      <c r="AW62" s="302">
        <v>1</v>
      </c>
      <c r="AX62" s="301"/>
      <c r="AY62" s="301"/>
      <c r="AZ62" s="303"/>
      <c r="BA62" s="302">
        <v>4</v>
      </c>
      <c r="BB62" s="301"/>
      <c r="BC62" s="313">
        <v>4</v>
      </c>
      <c r="BD62" s="313"/>
      <c r="BE62" s="313">
        <v>1.5</v>
      </c>
      <c r="BF62" s="313"/>
      <c r="BG62" s="302">
        <v>1</v>
      </c>
      <c r="BH62" s="301"/>
      <c r="BI62" s="301"/>
      <c r="BJ62" s="303"/>
      <c r="BK62" s="309">
        <v>8</v>
      </c>
      <c r="BL62" s="310"/>
      <c r="BM62" s="310"/>
      <c r="BN62" s="311"/>
      <c r="BO62" s="302">
        <v>1.5</v>
      </c>
      <c r="BP62" s="303"/>
      <c r="BQ62" s="302">
        <v>0</v>
      </c>
      <c r="BR62" s="303"/>
      <c r="CH62" s="285"/>
      <c r="CI62" s="285"/>
      <c r="CJ62" s="285"/>
      <c r="CK62" s="285"/>
      <c r="DD62" s="30"/>
      <c r="DE62"/>
      <c r="DF62"/>
      <c r="DH62" s="211"/>
      <c r="DI62"/>
      <c r="DJ62"/>
      <c r="DL62"/>
      <c r="DM62"/>
    </row>
    <row r="63" spans="1:157" s="4" customFormat="1" ht="15.75" hidden="1" thickBot="1" x14ac:dyDescent="0.3">
      <c r="A63" s="313" t="str">
        <f t="shared" ca="1" si="1"/>
        <v>CRS Corded</v>
      </c>
      <c r="B63" s="313"/>
      <c r="C63" s="313"/>
      <c r="D63" s="313"/>
      <c r="E63" s="313"/>
      <c r="F63" s="314"/>
      <c r="G63" s="13">
        <f t="shared" si="2"/>
        <v>6</v>
      </c>
      <c r="H63" s="74">
        <f t="shared" ca="1" si="0"/>
        <v>0</v>
      </c>
      <c r="J63" s="13">
        <v>3</v>
      </c>
      <c r="L63" s="4">
        <v>2</v>
      </c>
      <c r="U63" s="302">
        <v>0</v>
      </c>
      <c r="V63" s="301"/>
      <c r="W63" s="301"/>
      <c r="X63" s="303"/>
      <c r="Y63" s="304">
        <v>-7.2</v>
      </c>
      <c r="Z63" s="305"/>
      <c r="AA63" s="305">
        <v>-6.7</v>
      </c>
      <c r="AB63" s="305"/>
      <c r="AC63" s="305"/>
      <c r="AD63" s="305"/>
      <c r="AE63" s="305"/>
      <c r="AF63" s="308"/>
      <c r="AG63" s="302">
        <v>2</v>
      </c>
      <c r="AH63" s="301"/>
      <c r="AI63" s="301"/>
      <c r="AJ63" s="303"/>
      <c r="AK63" s="302">
        <v>2</v>
      </c>
      <c r="AL63" s="301"/>
      <c r="AM63" s="301"/>
      <c r="AN63" s="301"/>
      <c r="AO63" s="301"/>
      <c r="AP63" s="301"/>
      <c r="AQ63" s="301"/>
      <c r="AR63" s="303"/>
      <c r="AS63" s="302">
        <v>1</v>
      </c>
      <c r="AT63" s="301"/>
      <c r="AU63" s="301"/>
      <c r="AV63" s="303"/>
      <c r="AW63" s="302">
        <v>1</v>
      </c>
      <c r="AX63" s="301"/>
      <c r="AY63" s="301"/>
      <c r="AZ63" s="303"/>
      <c r="BA63" s="302">
        <v>5.5</v>
      </c>
      <c r="BB63" s="301"/>
      <c r="BC63" s="301">
        <v>5.5</v>
      </c>
      <c r="BD63" s="301"/>
      <c r="BE63" s="301"/>
      <c r="BF63" s="301"/>
      <c r="BG63" s="302">
        <v>1</v>
      </c>
      <c r="BH63" s="301"/>
      <c r="BI63" s="301"/>
      <c r="BJ63" s="303"/>
      <c r="BK63" s="309">
        <v>8</v>
      </c>
      <c r="BL63" s="310"/>
      <c r="BM63" s="310"/>
      <c r="BN63" s="311"/>
      <c r="BO63" s="302">
        <v>0</v>
      </c>
      <c r="BP63" s="303"/>
      <c r="BQ63" s="302">
        <v>0</v>
      </c>
      <c r="BR63" s="303"/>
      <c r="BV63" s="256" t="s">
        <v>35</v>
      </c>
      <c r="BW63" s="257"/>
      <c r="BX63" s="258">
        <f>IF(E15=BA119,BX64,IF(E15=BA120,BX65,BX66))</f>
        <v>1.05</v>
      </c>
      <c r="BY63" s="259"/>
      <c r="BZ63" s="254" t="s">
        <v>340</v>
      </c>
      <c r="CA63" s="254"/>
      <c r="CB63" s="254"/>
      <c r="CC63" s="254"/>
      <c r="CD63" s="254"/>
      <c r="CE63" s="254"/>
      <c r="CF63" s="255"/>
      <c r="CH63" s="266">
        <f>AL115</f>
        <v>100</v>
      </c>
      <c r="CI63" s="280"/>
      <c r="CJ63" s="266">
        <f>AL115</f>
        <v>100</v>
      </c>
      <c r="CK63" s="267"/>
      <c r="CL63" s="279" t="s">
        <v>148</v>
      </c>
      <c r="CM63" s="279"/>
      <c r="CN63" s="279"/>
      <c r="CO63" s="279"/>
      <c r="CP63" s="279"/>
      <c r="CQ63" s="279"/>
      <c r="CR63" s="279"/>
      <c r="DD63" s="30"/>
      <c r="DE63"/>
      <c r="DF63"/>
      <c r="DH63" s="211"/>
      <c r="DI63"/>
      <c r="DJ63"/>
      <c r="DL63"/>
      <c r="DM63"/>
    </row>
    <row r="64" spans="1:157" s="4" customFormat="1" ht="15" hidden="1" customHeight="1" thickTop="1" thickBot="1" x14ac:dyDescent="0.3">
      <c r="A64" s="313" t="str">
        <f t="shared" ca="1" si="1"/>
        <v>CRS 20</v>
      </c>
      <c r="B64" s="313"/>
      <c r="C64" s="313"/>
      <c r="D64" s="313"/>
      <c r="E64" s="313"/>
      <c r="F64" s="314"/>
      <c r="G64" s="13">
        <f t="shared" si="2"/>
        <v>7</v>
      </c>
      <c r="H64" s="74">
        <f t="shared" ca="1" si="0"/>
        <v>0</v>
      </c>
      <c r="J64" s="13">
        <v>2</v>
      </c>
      <c r="U64" s="302">
        <v>0</v>
      </c>
      <c r="V64" s="301"/>
      <c r="W64" s="301"/>
      <c r="X64" s="303"/>
      <c r="Y64" s="302">
        <v>-0.55000000000000004</v>
      </c>
      <c r="Z64" s="301"/>
      <c r="AA64" s="301"/>
      <c r="AB64" s="301"/>
      <c r="AC64" s="301"/>
      <c r="AD64" s="301"/>
      <c r="AE64" s="301"/>
      <c r="AF64" s="303"/>
      <c r="AG64" s="302">
        <v>0</v>
      </c>
      <c r="AH64" s="301"/>
      <c r="AI64" s="301"/>
      <c r="AJ64" s="303"/>
      <c r="AK64" s="302">
        <v>0</v>
      </c>
      <c r="AL64" s="301"/>
      <c r="AM64" s="301"/>
      <c r="AN64" s="301"/>
      <c r="AO64" s="301"/>
      <c r="AP64" s="301"/>
      <c r="AQ64" s="301"/>
      <c r="AR64" s="303"/>
      <c r="AS64" s="302">
        <v>1</v>
      </c>
      <c r="AT64" s="301"/>
      <c r="AU64" s="301"/>
      <c r="AV64" s="303"/>
      <c r="AW64" s="302">
        <v>1</v>
      </c>
      <c r="AX64" s="301"/>
      <c r="AY64" s="301"/>
      <c r="AZ64" s="303"/>
      <c r="BA64" s="302">
        <v>0.2</v>
      </c>
      <c r="BB64" s="301"/>
      <c r="BC64" s="301">
        <v>0.2</v>
      </c>
      <c r="BD64" s="301"/>
      <c r="BE64" s="301"/>
      <c r="BF64" s="301"/>
      <c r="BG64" s="302">
        <v>0</v>
      </c>
      <c r="BH64" s="301"/>
      <c r="BI64" s="301"/>
      <c r="BJ64" s="303"/>
      <c r="BK64" s="309">
        <v>0</v>
      </c>
      <c r="BL64" s="310"/>
      <c r="BM64" s="310"/>
      <c r="BN64" s="311"/>
      <c r="BO64" s="302">
        <v>2.2999999999999998</v>
      </c>
      <c r="BP64" s="303"/>
      <c r="BQ64" s="302">
        <v>0</v>
      </c>
      <c r="BR64" s="303"/>
      <c r="BV64" s="288">
        <v>0</v>
      </c>
      <c r="BW64" s="289"/>
      <c r="BX64" s="252">
        <v>1.05</v>
      </c>
      <c r="BY64" s="251"/>
      <c r="BZ64" s="294" t="s">
        <v>324</v>
      </c>
      <c r="CA64" s="295"/>
      <c r="CB64" s="295"/>
      <c r="CC64" s="295"/>
      <c r="CD64" s="295"/>
      <c r="CE64" s="295"/>
      <c r="CF64" s="296"/>
      <c r="CH64" s="245">
        <f ca="1">CH63-BA56-BX98+BX68</f>
        <v>92.52</v>
      </c>
      <c r="CI64" s="246"/>
      <c r="CJ64" s="245">
        <f ca="1">CJ63-BA56-BX98+BX68</f>
        <v>92.52</v>
      </c>
      <c r="CK64" s="247"/>
      <c r="CL64" s="279" t="s">
        <v>342</v>
      </c>
      <c r="CM64" s="279"/>
      <c r="CN64" s="279"/>
      <c r="CO64" s="279"/>
      <c r="CP64" s="279"/>
      <c r="CQ64" s="279"/>
      <c r="CR64" s="279"/>
      <c r="DD64" s="219"/>
      <c r="DE64" s="218"/>
      <c r="DF64" s="218"/>
      <c r="DH64" s="218"/>
      <c r="DI64" s="218"/>
      <c r="DJ64" s="218"/>
      <c r="DK64" s="218"/>
      <c r="DL64" s="218"/>
      <c r="DM64" s="218"/>
      <c r="EW64" s="69" t="s">
        <v>185</v>
      </c>
      <c r="EX64" s="96">
        <v>1</v>
      </c>
      <c r="EY64" s="96">
        <v>2</v>
      </c>
      <c r="EZ64" s="96">
        <v>3</v>
      </c>
      <c r="FA64" s="96">
        <v>4</v>
      </c>
    </row>
    <row r="65" spans="1:157" s="4" customFormat="1" ht="15.75" hidden="1" thickBot="1" x14ac:dyDescent="0.3">
      <c r="A65" s="313" t="str">
        <f t="shared" ca="1" si="1"/>
        <v>CRS 28</v>
      </c>
      <c r="B65" s="313"/>
      <c r="C65" s="313"/>
      <c r="D65" s="313"/>
      <c r="E65" s="313"/>
      <c r="F65" s="314"/>
      <c r="G65" s="13">
        <f t="shared" si="2"/>
        <v>8</v>
      </c>
      <c r="H65" s="74">
        <f t="shared" ca="1" si="0"/>
        <v>0</v>
      </c>
      <c r="J65" s="13">
        <v>2</v>
      </c>
      <c r="L65" s="4">
        <v>2</v>
      </c>
      <c r="T65" s="4">
        <v>1</v>
      </c>
      <c r="U65" s="302">
        <v>0</v>
      </c>
      <c r="V65" s="301"/>
      <c r="W65" s="301"/>
      <c r="X65" s="303"/>
      <c r="Y65" s="304">
        <v>-0.55000000000000004</v>
      </c>
      <c r="Z65" s="305"/>
      <c r="AA65" s="305">
        <v>-1.6</v>
      </c>
      <c r="AB65" s="305"/>
      <c r="AC65" s="305"/>
      <c r="AD65" s="305"/>
      <c r="AE65" s="305"/>
      <c r="AF65" s="308"/>
      <c r="AG65" s="302">
        <v>0</v>
      </c>
      <c r="AH65" s="301"/>
      <c r="AI65" s="301"/>
      <c r="AJ65" s="303"/>
      <c r="AK65" s="302">
        <v>0</v>
      </c>
      <c r="AL65" s="301"/>
      <c r="AM65" s="301"/>
      <c r="AN65" s="301"/>
      <c r="AO65" s="301"/>
      <c r="AP65" s="301"/>
      <c r="AQ65" s="301"/>
      <c r="AR65" s="303"/>
      <c r="AS65" s="302">
        <v>1</v>
      </c>
      <c r="AT65" s="301"/>
      <c r="AU65" s="301"/>
      <c r="AV65" s="303"/>
      <c r="AW65" s="302">
        <v>1</v>
      </c>
      <c r="AX65" s="301"/>
      <c r="AY65" s="301"/>
      <c r="AZ65" s="303"/>
      <c r="BA65" s="302">
        <v>0.2</v>
      </c>
      <c r="BB65" s="301"/>
      <c r="BC65" s="301">
        <v>0.2</v>
      </c>
      <c r="BD65" s="301"/>
      <c r="BE65" s="301"/>
      <c r="BF65" s="301"/>
      <c r="BG65" s="302">
        <v>0</v>
      </c>
      <c r="BH65" s="301"/>
      <c r="BI65" s="301"/>
      <c r="BJ65" s="303"/>
      <c r="BK65" s="309">
        <v>0</v>
      </c>
      <c r="BL65" s="310"/>
      <c r="BM65" s="310"/>
      <c r="BN65" s="311"/>
      <c r="BO65" s="302">
        <v>1.4</v>
      </c>
      <c r="BP65" s="303"/>
      <c r="BQ65" s="302">
        <v>0</v>
      </c>
      <c r="BR65" s="303"/>
      <c r="BV65" s="252">
        <v>1</v>
      </c>
      <c r="BW65" s="251"/>
      <c r="BX65" s="252">
        <v>1.38</v>
      </c>
      <c r="BY65" s="251"/>
      <c r="BZ65" s="281" t="s">
        <v>325</v>
      </c>
      <c r="CA65" s="262"/>
      <c r="CB65" s="262"/>
      <c r="CC65" s="262"/>
      <c r="CD65" s="262"/>
      <c r="CE65" s="262"/>
      <c r="CF65" s="263"/>
      <c r="CH65" s="245">
        <f ca="1">IF(E19=BA116,CH64/2,CH64)</f>
        <v>92.52</v>
      </c>
      <c r="CI65" s="246"/>
      <c r="CJ65" s="245">
        <f ca="1">IF(E19=BA116,CJ64/2,CJ64)</f>
        <v>92.52</v>
      </c>
      <c r="CK65" s="247"/>
      <c r="CL65" s="277" t="str">
        <f ca="1">IF(E19=BA116,"/2","…")</f>
        <v>…</v>
      </c>
      <c r="CM65" s="278"/>
      <c r="CN65" s="279" t="str">
        <f ca="1">IF(E19=BA116,EY106,EY107)</f>
        <v>Enkelpakket</v>
      </c>
      <c r="CO65" s="279"/>
      <c r="CP65" s="279"/>
      <c r="CQ65" s="279"/>
      <c r="CR65" s="279"/>
      <c r="DD65" s="219"/>
      <c r="DE65" s="218"/>
      <c r="DF65" s="218"/>
      <c r="DH65" s="218"/>
      <c r="DI65" s="218"/>
      <c r="DJ65" s="218"/>
      <c r="DK65" s="218"/>
      <c r="DL65" s="218"/>
      <c r="DM65" s="218"/>
      <c r="ES65" s="69" t="s">
        <v>269</v>
      </c>
      <c r="EW65" s="130">
        <f>IF(A2="",-4,SUM(EX65:FA65))</f>
        <v>1</v>
      </c>
      <c r="EX65" s="137">
        <f>IF($A$2=EX66,EX64,0)</f>
        <v>1</v>
      </c>
      <c r="EY65" s="138">
        <f>IF($A$2=EY66,EY64,0)</f>
        <v>0</v>
      </c>
      <c r="EZ65" s="138">
        <f>IF($A$2=EZ66,EZ64,0)</f>
        <v>0</v>
      </c>
      <c r="FA65" s="139">
        <f>IF($A$2=FA66,FA64,0)</f>
        <v>0</v>
      </c>
    </row>
    <row r="66" spans="1:157" s="4" customFormat="1" ht="15" hidden="1" customHeight="1" thickBot="1" x14ac:dyDescent="0.3">
      <c r="A66" s="313" t="str">
        <f t="shared" ca="1" si="1"/>
        <v>KS</v>
      </c>
      <c r="B66" s="313"/>
      <c r="C66" s="313"/>
      <c r="D66" s="313"/>
      <c r="E66" s="313"/>
      <c r="F66" s="314"/>
      <c r="G66" s="13">
        <f t="shared" si="2"/>
        <v>9</v>
      </c>
      <c r="H66" s="74">
        <f t="shared" ca="1" si="0"/>
        <v>0</v>
      </c>
      <c r="J66" s="13">
        <v>2</v>
      </c>
      <c r="L66" s="4">
        <v>2</v>
      </c>
      <c r="U66" s="302">
        <v>0</v>
      </c>
      <c r="V66" s="301"/>
      <c r="W66" s="301"/>
      <c r="X66" s="303"/>
      <c r="Y66" s="304">
        <v>-0.55000000000000004</v>
      </c>
      <c r="Z66" s="305"/>
      <c r="AA66" s="305">
        <v>-1.6</v>
      </c>
      <c r="AB66" s="305"/>
      <c r="AC66" s="305"/>
      <c r="AD66" s="305"/>
      <c r="AE66" s="305"/>
      <c r="AF66" s="308"/>
      <c r="AG66" s="302">
        <v>0</v>
      </c>
      <c r="AH66" s="301"/>
      <c r="AI66" s="301"/>
      <c r="AJ66" s="303"/>
      <c r="AK66" s="302">
        <v>0</v>
      </c>
      <c r="AL66" s="301"/>
      <c r="AM66" s="301"/>
      <c r="AN66" s="301"/>
      <c r="AO66" s="301"/>
      <c r="AP66" s="301"/>
      <c r="AQ66" s="301"/>
      <c r="AR66" s="303"/>
      <c r="AS66" s="302">
        <v>1</v>
      </c>
      <c r="AT66" s="301"/>
      <c r="AU66" s="301"/>
      <c r="AV66" s="303"/>
      <c r="AW66" s="302">
        <v>1</v>
      </c>
      <c r="AX66" s="301"/>
      <c r="AY66" s="301"/>
      <c r="AZ66" s="303"/>
      <c r="BA66" s="302">
        <v>0.2</v>
      </c>
      <c r="BB66" s="301"/>
      <c r="BC66" s="301">
        <v>0.2</v>
      </c>
      <c r="BD66" s="301"/>
      <c r="BE66" s="301"/>
      <c r="BF66" s="301"/>
      <c r="BG66" s="302">
        <v>0</v>
      </c>
      <c r="BH66" s="301"/>
      <c r="BI66" s="301"/>
      <c r="BJ66" s="303"/>
      <c r="BK66" s="309">
        <v>0</v>
      </c>
      <c r="BL66" s="310"/>
      <c r="BM66" s="310"/>
      <c r="BN66" s="311"/>
      <c r="BO66" s="302">
        <v>1.4</v>
      </c>
      <c r="BP66" s="303"/>
      <c r="BQ66" s="302">
        <v>0</v>
      </c>
      <c r="BR66" s="303"/>
      <c r="BV66" s="241">
        <v>2</v>
      </c>
      <c r="BW66" s="242"/>
      <c r="BX66" s="241">
        <v>1.25</v>
      </c>
      <c r="BY66" s="242"/>
      <c r="BZ66" s="511" t="s">
        <v>326</v>
      </c>
      <c r="CA66" s="243"/>
      <c r="CB66" s="243"/>
      <c r="CC66" s="243"/>
      <c r="CD66" s="243"/>
      <c r="CE66" s="243"/>
      <c r="CF66" s="244"/>
      <c r="CH66" s="245">
        <f ca="1">CH65-CN66</f>
        <v>92.52</v>
      </c>
      <c r="CI66" s="246"/>
      <c r="CJ66" s="245">
        <f ca="1">CJ65+CN66</f>
        <v>92.52</v>
      </c>
      <c r="CK66" s="247"/>
      <c r="CL66" s="281" t="s">
        <v>317</v>
      </c>
      <c r="CM66" s="262"/>
      <c r="CN66" s="282">
        <f ca="1">IF(J111&gt;0,0,(AL115/2)-E25)</f>
        <v>0</v>
      </c>
      <c r="CO66" s="283"/>
      <c r="CP66" s="213" t="s">
        <v>236</v>
      </c>
      <c r="DD66" s="219"/>
      <c r="DE66" s="218"/>
      <c r="DF66" s="218"/>
      <c r="DH66" s="218"/>
      <c r="DI66" s="218"/>
      <c r="DJ66" s="218"/>
      <c r="DK66" s="218"/>
      <c r="DL66" s="218"/>
      <c r="DM66" s="218"/>
      <c r="ES66" s="159" t="str">
        <f>""</f>
        <v/>
      </c>
      <c r="ET66" s="250" t="s">
        <v>181</v>
      </c>
      <c r="EU66" s="250"/>
      <c r="EV66" s="250"/>
      <c r="EW66" s="131" t="str" cm="1">
        <f t="array" aca="1" ref="EW66:EW178" ca="1">OFFSET(EW66:EW178,0,$EW$65,113,1)</f>
        <v>English</v>
      </c>
      <c r="EX66" s="124" t="s">
        <v>152</v>
      </c>
      <c r="EY66" s="125" t="s">
        <v>151</v>
      </c>
      <c r="EZ66" s="125" t="s">
        <v>174</v>
      </c>
      <c r="FA66" s="126" t="s">
        <v>175</v>
      </c>
    </row>
    <row r="67" spans="1:157" s="4" customFormat="1" ht="15" hidden="1" customHeight="1" thickBot="1" x14ac:dyDescent="0.3">
      <c r="A67" s="313" t="str">
        <f t="shared" ca="1" si="1"/>
        <v>KS Recess</v>
      </c>
      <c r="B67" s="313"/>
      <c r="C67" s="313"/>
      <c r="D67" s="313"/>
      <c r="E67" s="313"/>
      <c r="F67" s="314"/>
      <c r="G67" s="13">
        <f t="shared" si="2"/>
        <v>10</v>
      </c>
      <c r="H67" s="74">
        <f t="shared" ca="1" si="0"/>
        <v>0</v>
      </c>
      <c r="J67" s="13">
        <v>2</v>
      </c>
      <c r="U67" s="302">
        <v>0</v>
      </c>
      <c r="V67" s="301"/>
      <c r="W67" s="301"/>
      <c r="X67" s="303"/>
      <c r="Y67" s="302">
        <v>-0.55000000000000004</v>
      </c>
      <c r="Z67" s="301"/>
      <c r="AA67" s="301"/>
      <c r="AB67" s="301"/>
      <c r="AC67" s="301"/>
      <c r="AD67" s="301"/>
      <c r="AE67" s="301"/>
      <c r="AF67" s="303"/>
      <c r="AG67" s="302">
        <v>0</v>
      </c>
      <c r="AH67" s="301"/>
      <c r="AI67" s="301"/>
      <c r="AJ67" s="303"/>
      <c r="AK67" s="302">
        <v>0</v>
      </c>
      <c r="AL67" s="301"/>
      <c r="AM67" s="301"/>
      <c r="AN67" s="301"/>
      <c r="AO67" s="301"/>
      <c r="AP67" s="301"/>
      <c r="AQ67" s="301"/>
      <c r="AR67" s="303"/>
      <c r="AS67" s="302">
        <v>1</v>
      </c>
      <c r="AT67" s="301"/>
      <c r="AU67" s="301"/>
      <c r="AV67" s="303"/>
      <c r="AW67" s="302">
        <v>1</v>
      </c>
      <c r="AX67" s="301"/>
      <c r="AY67" s="301"/>
      <c r="AZ67" s="303"/>
      <c r="BA67" s="302">
        <v>0</v>
      </c>
      <c r="BB67" s="301"/>
      <c r="BC67" s="301">
        <v>0</v>
      </c>
      <c r="BD67" s="301"/>
      <c r="BE67" s="301"/>
      <c r="BF67" s="303"/>
      <c r="BG67" s="309">
        <v>0</v>
      </c>
      <c r="BH67" s="310"/>
      <c r="BI67" s="310"/>
      <c r="BJ67" s="311"/>
      <c r="BK67" s="309">
        <v>0</v>
      </c>
      <c r="BL67" s="310"/>
      <c r="BM67" s="310"/>
      <c r="BN67" s="311"/>
      <c r="BO67" s="302">
        <v>0</v>
      </c>
      <c r="BP67" s="303"/>
      <c r="BQ67" s="302">
        <v>0</v>
      </c>
      <c r="BR67" s="303"/>
      <c r="CH67" s="245">
        <f ca="1">CH66+BX73</f>
        <v>93.97</v>
      </c>
      <c r="CI67" s="246"/>
      <c r="CJ67" s="245">
        <f ca="1">CJ66+BX73</f>
        <v>93.97</v>
      </c>
      <c r="CK67" s="247"/>
      <c r="CL67" s="279" t="s">
        <v>81</v>
      </c>
      <c r="CM67" s="279"/>
      <c r="CN67" s="279"/>
      <c r="CO67" s="279"/>
      <c r="CP67" s="279"/>
      <c r="CQ67" s="279"/>
      <c r="CR67" s="279"/>
      <c r="DE67" s="218"/>
      <c r="DF67" s="218"/>
      <c r="DH67" s="218"/>
      <c r="DI67" s="218"/>
      <c r="DJ67" s="218"/>
      <c r="DK67" s="218"/>
      <c r="DL67" s="218"/>
      <c r="DM67" s="218"/>
      <c r="EF67"/>
      <c r="EG67"/>
      <c r="ES67" s="160" t="str">
        <f>""</f>
        <v/>
      </c>
      <c r="ET67" s="238" t="s">
        <v>182</v>
      </c>
      <c r="EU67" s="238"/>
      <c r="EV67" s="238"/>
      <c r="EW67" s="132" t="str">
        <f ca="1"/>
        <v xml:space="preserve">Track type      = </v>
      </c>
      <c r="EX67" s="7" t="s">
        <v>146</v>
      </c>
      <c r="EY67" s="13" t="s">
        <v>237</v>
      </c>
      <c r="EZ67" s="13"/>
      <c r="FA67" s="20"/>
    </row>
    <row r="68" spans="1:157" s="4" customFormat="1" ht="15" hidden="1" customHeight="1" thickBot="1" x14ac:dyDescent="0.3">
      <c r="A68" s="313" t="str">
        <f t="shared" ca="1" si="1"/>
        <v>CS</v>
      </c>
      <c r="B68" s="313"/>
      <c r="C68" s="313"/>
      <c r="D68" s="313"/>
      <c r="E68" s="313"/>
      <c r="F68" s="314"/>
      <c r="G68" s="13">
        <f t="shared" si="2"/>
        <v>11</v>
      </c>
      <c r="H68" s="74">
        <f t="shared" ca="1" si="0"/>
        <v>0</v>
      </c>
      <c r="J68" s="13">
        <v>2</v>
      </c>
      <c r="T68" s="4">
        <v>1</v>
      </c>
      <c r="U68" s="302">
        <v>0</v>
      </c>
      <c r="V68" s="301"/>
      <c r="W68" s="301"/>
      <c r="X68" s="303"/>
      <c r="Y68" s="302">
        <v>-0.55000000000000004</v>
      </c>
      <c r="Z68" s="301"/>
      <c r="AA68" s="301"/>
      <c r="AB68" s="301"/>
      <c r="AC68" s="301"/>
      <c r="AD68" s="301"/>
      <c r="AE68" s="301"/>
      <c r="AF68" s="303"/>
      <c r="AG68" s="302">
        <v>0</v>
      </c>
      <c r="AH68" s="301"/>
      <c r="AI68" s="301"/>
      <c r="AJ68" s="303"/>
      <c r="AK68" s="302">
        <v>0</v>
      </c>
      <c r="AL68" s="301"/>
      <c r="AM68" s="301"/>
      <c r="AN68" s="301"/>
      <c r="AO68" s="301"/>
      <c r="AP68" s="301"/>
      <c r="AQ68" s="301"/>
      <c r="AR68" s="303"/>
      <c r="AS68" s="302">
        <v>1</v>
      </c>
      <c r="AT68" s="301"/>
      <c r="AU68" s="301"/>
      <c r="AV68" s="303"/>
      <c r="AW68" s="302">
        <v>1</v>
      </c>
      <c r="AX68" s="301"/>
      <c r="AY68" s="301"/>
      <c r="AZ68" s="303"/>
      <c r="BA68" s="302">
        <v>0.2</v>
      </c>
      <c r="BB68" s="301"/>
      <c r="BC68" s="301">
        <v>0.2</v>
      </c>
      <c r="BD68" s="301"/>
      <c r="BE68" s="301"/>
      <c r="BF68" s="303"/>
      <c r="BG68" s="309">
        <v>0</v>
      </c>
      <c r="BH68" s="310"/>
      <c r="BI68" s="310"/>
      <c r="BJ68" s="311"/>
      <c r="BK68" s="309">
        <v>0</v>
      </c>
      <c r="BL68" s="310"/>
      <c r="BM68" s="310"/>
      <c r="BN68" s="311"/>
      <c r="BO68" s="302">
        <v>2.2000000000000002</v>
      </c>
      <c r="BP68" s="303"/>
      <c r="BQ68" s="302">
        <v>0</v>
      </c>
      <c r="BR68" s="303"/>
      <c r="BV68" s="256" t="s">
        <v>72</v>
      </c>
      <c r="BW68" s="257"/>
      <c r="BX68" s="258">
        <f ca="1">IF(K56=1,BX70,IF(K56=2,BX71,BX69))</f>
        <v>3.02</v>
      </c>
      <c r="BY68" s="259"/>
      <c r="BZ68" s="254" t="s">
        <v>341</v>
      </c>
      <c r="CA68" s="254"/>
      <c r="CB68" s="254"/>
      <c r="CC68" s="254"/>
      <c r="CD68" s="254"/>
      <c r="CE68" s="254"/>
      <c r="CF68" s="255"/>
      <c r="CH68" s="245">
        <f ca="1">CH67/BX58</f>
        <v>11.875394919752306</v>
      </c>
      <c r="CI68" s="246"/>
      <c r="CJ68" s="245">
        <f ca="1">CJ67/BX58</f>
        <v>11.875394919752306</v>
      </c>
      <c r="CK68" s="247"/>
      <c r="CL68" s="278" t="s">
        <v>329</v>
      </c>
      <c r="CM68" s="279"/>
      <c r="CN68" s="279"/>
      <c r="CO68" s="279"/>
      <c r="CP68" s="279"/>
      <c r="CQ68" s="279"/>
      <c r="CR68" s="279"/>
      <c r="DE68"/>
      <c r="DF68"/>
      <c r="DH68" s="211"/>
      <c r="DI68"/>
      <c r="DJ68"/>
      <c r="DL68"/>
      <c r="DM68"/>
      <c r="EF68"/>
      <c r="EG68"/>
      <c r="ES68" s="160" t="str">
        <f>""</f>
        <v/>
      </c>
      <c r="ET68" s="238"/>
      <c r="EU68" s="238"/>
      <c r="EV68" s="238"/>
      <c r="EW68" s="135" t="str">
        <f ca="1"/>
        <v xml:space="preserve">Track size in cm    = </v>
      </c>
      <c r="EX68" s="117" t="s">
        <v>276</v>
      </c>
      <c r="EY68" s="118" t="s">
        <v>275</v>
      </c>
      <c r="EZ68" s="118"/>
      <c r="FA68" s="123"/>
    </row>
    <row r="69" spans="1:157" s="4" customFormat="1" ht="15.75" hidden="1" thickTop="1" x14ac:dyDescent="0.25">
      <c r="A69" s="313" t="str">
        <f t="shared" ca="1" si="1"/>
        <v>DS</v>
      </c>
      <c r="B69" s="313"/>
      <c r="C69" s="313"/>
      <c r="D69" s="313"/>
      <c r="E69" s="313"/>
      <c r="F69" s="314"/>
      <c r="G69" s="13">
        <f t="shared" si="2"/>
        <v>12</v>
      </c>
      <c r="H69" s="74">
        <f t="shared" ca="1" si="0"/>
        <v>0</v>
      </c>
      <c r="J69" s="13">
        <v>2</v>
      </c>
      <c r="L69" s="4">
        <v>2</v>
      </c>
      <c r="U69" s="302">
        <v>0</v>
      </c>
      <c r="V69" s="301"/>
      <c r="W69" s="301"/>
      <c r="X69" s="303"/>
      <c r="Y69" s="88">
        <v>-0.55000000000000004</v>
      </c>
      <c r="Z69" s="83"/>
      <c r="AA69" s="83">
        <v>-1.6</v>
      </c>
      <c r="AB69" s="83"/>
      <c r="AC69" s="83"/>
      <c r="AD69" s="83"/>
      <c r="AE69" s="83"/>
      <c r="AF69" s="84"/>
      <c r="AG69" s="302">
        <v>0</v>
      </c>
      <c r="AH69" s="301"/>
      <c r="AI69" s="301"/>
      <c r="AJ69" s="303"/>
      <c r="AK69" s="302">
        <v>0</v>
      </c>
      <c r="AL69" s="301"/>
      <c r="AM69" s="301"/>
      <c r="AN69" s="301"/>
      <c r="AO69" s="301"/>
      <c r="AP69" s="301"/>
      <c r="AQ69" s="301"/>
      <c r="AR69" s="303"/>
      <c r="AS69" s="302">
        <v>1</v>
      </c>
      <c r="AT69" s="301"/>
      <c r="AU69" s="301"/>
      <c r="AV69" s="303"/>
      <c r="AW69" s="302">
        <v>1</v>
      </c>
      <c r="AX69" s="301"/>
      <c r="AY69" s="301"/>
      <c r="AZ69" s="303"/>
      <c r="BA69" s="302">
        <v>0.2</v>
      </c>
      <c r="BB69" s="301"/>
      <c r="BC69" s="301">
        <v>0.2</v>
      </c>
      <c r="BD69" s="301"/>
      <c r="BE69" s="301"/>
      <c r="BF69" s="303"/>
      <c r="BG69" s="309">
        <v>0</v>
      </c>
      <c r="BH69" s="310"/>
      <c r="BI69" s="310"/>
      <c r="BJ69" s="311"/>
      <c r="BK69" s="309">
        <v>0</v>
      </c>
      <c r="BL69" s="310"/>
      <c r="BM69" s="310"/>
      <c r="BN69" s="311"/>
      <c r="BO69" s="302">
        <v>1.4</v>
      </c>
      <c r="BP69" s="303"/>
      <c r="BQ69" s="302">
        <v>0</v>
      </c>
      <c r="BR69" s="303"/>
      <c r="BV69" s="288">
        <v>0</v>
      </c>
      <c r="BW69" s="289"/>
      <c r="BX69" s="252">
        <f ca="1">U56</f>
        <v>0</v>
      </c>
      <c r="BY69" s="251"/>
      <c r="BZ69" s="264" t="s">
        <v>302</v>
      </c>
      <c r="CA69" s="264"/>
      <c r="CB69" s="264"/>
      <c r="CC69" s="264"/>
      <c r="CD69" s="264"/>
      <c r="CE69" s="264"/>
      <c r="CF69" s="265"/>
      <c r="CH69" s="245">
        <f ca="1">CH68+1</f>
        <v>12.875394919752306</v>
      </c>
      <c r="CI69" s="246"/>
      <c r="CJ69" s="245">
        <f ca="1">CJ68+1</f>
        <v>12.875394919752306</v>
      </c>
      <c r="CK69" s="247"/>
      <c r="CL69" s="278" t="s">
        <v>149</v>
      </c>
      <c r="CM69" s="279"/>
      <c r="CN69" s="279"/>
      <c r="CO69" s="279"/>
      <c r="CP69" s="279"/>
      <c r="CQ69" s="279"/>
      <c r="CR69" s="279"/>
      <c r="DE69"/>
      <c r="DF69"/>
      <c r="DH69" s="211"/>
      <c r="DI69"/>
      <c r="DJ69"/>
      <c r="DL69"/>
      <c r="DM69"/>
      <c r="EF69"/>
      <c r="EG69"/>
      <c r="ES69" s="160" t="str">
        <f>""</f>
        <v/>
      </c>
      <c r="ET69" s="238"/>
      <c r="EU69" s="238"/>
      <c r="EV69" s="238"/>
      <c r="EW69" s="135" t="str">
        <f ca="1"/>
        <v xml:space="preserve">Track size in inches  = </v>
      </c>
      <c r="EX69" s="117" t="s">
        <v>277</v>
      </c>
      <c r="EY69" s="118" t="s">
        <v>278</v>
      </c>
      <c r="EZ69" s="118"/>
      <c r="FA69" s="123"/>
    </row>
    <row r="70" spans="1:157" s="4" customFormat="1" hidden="1" x14ac:dyDescent="0.25">
      <c r="A70" s="313" t="str">
        <f t="shared" ca="1" si="1"/>
        <v>DS-XL</v>
      </c>
      <c r="B70" s="313"/>
      <c r="C70" s="313"/>
      <c r="D70" s="313"/>
      <c r="E70" s="313"/>
      <c r="F70" s="314"/>
      <c r="G70" s="13">
        <f t="shared" si="2"/>
        <v>13</v>
      </c>
      <c r="H70" s="74">
        <f t="shared" ca="1" si="0"/>
        <v>0</v>
      </c>
      <c r="J70" s="13">
        <v>2</v>
      </c>
      <c r="U70" s="302">
        <v>0</v>
      </c>
      <c r="V70" s="301"/>
      <c r="W70" s="301"/>
      <c r="X70" s="303"/>
      <c r="Y70" s="302">
        <v>-0.55000000000000004</v>
      </c>
      <c r="Z70" s="301"/>
      <c r="AA70" s="301"/>
      <c r="AB70" s="301"/>
      <c r="AC70" s="301"/>
      <c r="AD70" s="301"/>
      <c r="AE70" s="301"/>
      <c r="AF70" s="303"/>
      <c r="AG70" s="302">
        <v>0</v>
      </c>
      <c r="AH70" s="301"/>
      <c r="AI70" s="301"/>
      <c r="AJ70" s="303"/>
      <c r="AK70" s="302">
        <v>0</v>
      </c>
      <c r="AL70" s="301"/>
      <c r="AM70" s="301"/>
      <c r="AN70" s="301"/>
      <c r="AO70" s="301"/>
      <c r="AP70" s="301"/>
      <c r="AQ70" s="301"/>
      <c r="AR70" s="303"/>
      <c r="AS70" s="302">
        <v>1</v>
      </c>
      <c r="AT70" s="301"/>
      <c r="AU70" s="301"/>
      <c r="AV70" s="303"/>
      <c r="AW70" s="302">
        <v>1</v>
      </c>
      <c r="AX70" s="301"/>
      <c r="AY70" s="301"/>
      <c r="AZ70" s="303"/>
      <c r="BA70" s="302">
        <v>0.4</v>
      </c>
      <c r="BB70" s="301"/>
      <c r="BC70" s="301">
        <v>0.4</v>
      </c>
      <c r="BD70" s="301"/>
      <c r="BE70" s="301"/>
      <c r="BF70" s="303"/>
      <c r="BG70" s="309">
        <v>0</v>
      </c>
      <c r="BH70" s="310"/>
      <c r="BI70" s="310"/>
      <c r="BJ70" s="311"/>
      <c r="BK70" s="309">
        <v>0</v>
      </c>
      <c r="BL70" s="310"/>
      <c r="BM70" s="310"/>
      <c r="BN70" s="311"/>
      <c r="BO70" s="302">
        <v>0.9</v>
      </c>
      <c r="BP70" s="303"/>
      <c r="BQ70" s="302">
        <v>0</v>
      </c>
      <c r="BR70" s="303"/>
      <c r="BV70" s="252">
        <v>1</v>
      </c>
      <c r="BW70" s="251"/>
      <c r="BX70" s="7">
        <f ca="1">IF($E$21=$BA$123, 0, IF($E$19=BA116, U56, W56 ))</f>
        <v>3.02</v>
      </c>
      <c r="BY70" s="8"/>
      <c r="BZ70" s="262" t="s">
        <v>316</v>
      </c>
      <c r="CA70" s="262"/>
      <c r="CB70" s="262"/>
      <c r="CC70" s="262"/>
      <c r="CD70" s="262"/>
      <c r="CE70" s="262"/>
      <c r="CF70" s="263"/>
      <c r="CH70" s="245">
        <f ca="1">ROUNDUP(CH69,0)</f>
        <v>13</v>
      </c>
      <c r="CI70" s="246"/>
      <c r="CJ70" s="245">
        <f ca="1">ROUNDUP(CJ69,0)</f>
        <v>13</v>
      </c>
      <c r="CK70" s="247"/>
      <c r="CL70" s="279" t="s">
        <v>330</v>
      </c>
      <c r="CM70" s="279"/>
      <c r="CN70" s="279"/>
      <c r="CO70" s="279"/>
      <c r="CP70" s="279"/>
      <c r="CQ70" s="279"/>
      <c r="CR70" s="279"/>
      <c r="DH70" s="211"/>
      <c r="DI70"/>
      <c r="DJ70"/>
      <c r="DL70"/>
      <c r="DM70"/>
      <c r="DP70" s="250"/>
      <c r="DQ70" s="250"/>
      <c r="DR70" s="250"/>
      <c r="DS70" s="250"/>
      <c r="DT70" s="250"/>
      <c r="DU70" s="250"/>
      <c r="EF70"/>
      <c r="EG70"/>
      <c r="ES70" s="160" t="str">
        <f>""</f>
        <v/>
      </c>
      <c r="ET70" s="238"/>
      <c r="EU70" s="238"/>
      <c r="EV70" s="238"/>
      <c r="EW70" s="134" t="str">
        <f ca="1"/>
        <v xml:space="preserve">   Easyflex &lt;&gt;</v>
      </c>
      <c r="EX70" s="111" t="s">
        <v>15</v>
      </c>
      <c r="EY70" s="113" t="s">
        <v>250</v>
      </c>
      <c r="EZ70" s="113"/>
      <c r="FA70" s="122"/>
    </row>
    <row r="71" spans="1:157" s="4" customFormat="1" ht="15.75" hidden="1" thickBot="1" x14ac:dyDescent="0.3">
      <c r="A71" s="313" t="str">
        <f t="shared" ca="1" si="1"/>
        <v>DS-XL Motorised</v>
      </c>
      <c r="B71" s="313"/>
      <c r="C71" s="313"/>
      <c r="D71" s="313"/>
      <c r="E71" s="313"/>
      <c r="F71" s="314"/>
      <c r="G71" s="13">
        <f t="shared" si="2"/>
        <v>14</v>
      </c>
      <c r="H71" s="74">
        <f t="shared" ca="1" si="0"/>
        <v>0</v>
      </c>
      <c r="J71" s="13">
        <v>1</v>
      </c>
      <c r="K71" s="4">
        <v>2</v>
      </c>
      <c r="L71" s="4">
        <v>1</v>
      </c>
      <c r="M71" s="4">
        <v>1</v>
      </c>
      <c r="N71" s="4">
        <v>1</v>
      </c>
      <c r="O71" s="4">
        <v>1</v>
      </c>
      <c r="P71" s="4">
        <v>1</v>
      </c>
      <c r="R71" s="4">
        <v>1</v>
      </c>
      <c r="S71" s="4">
        <v>1</v>
      </c>
      <c r="U71" s="304">
        <v>0</v>
      </c>
      <c r="V71" s="305"/>
      <c r="W71" s="305">
        <v>2.95</v>
      </c>
      <c r="X71" s="308"/>
      <c r="Y71" s="312">
        <v>-7.2</v>
      </c>
      <c r="Z71" s="313"/>
      <c r="AA71" s="313">
        <v>-6.9</v>
      </c>
      <c r="AB71" s="313"/>
      <c r="AC71" s="313">
        <v>0.75</v>
      </c>
      <c r="AD71" s="313"/>
      <c r="AE71" s="313">
        <v>1.45</v>
      </c>
      <c r="AF71" s="314"/>
      <c r="AG71" s="312">
        <v>2</v>
      </c>
      <c r="AH71" s="313"/>
      <c r="AI71" s="313">
        <v>1</v>
      </c>
      <c r="AJ71" s="314"/>
      <c r="AK71" s="312">
        <v>1</v>
      </c>
      <c r="AL71" s="313"/>
      <c r="AM71" s="313">
        <v>0</v>
      </c>
      <c r="AN71" s="313"/>
      <c r="AO71" s="313">
        <v>0</v>
      </c>
      <c r="AP71" s="313"/>
      <c r="AQ71" s="313">
        <v>0</v>
      </c>
      <c r="AR71" s="314"/>
      <c r="AS71" s="312">
        <v>1</v>
      </c>
      <c r="AT71" s="313"/>
      <c r="AU71" s="250">
        <v>0</v>
      </c>
      <c r="AV71" s="315"/>
      <c r="AW71" s="312">
        <v>0</v>
      </c>
      <c r="AX71" s="313"/>
      <c r="AY71" s="250">
        <v>1</v>
      </c>
      <c r="AZ71" s="315"/>
      <c r="BA71" s="302">
        <v>6.5</v>
      </c>
      <c r="BB71" s="301"/>
      <c r="BC71" s="301">
        <v>4</v>
      </c>
      <c r="BD71" s="301"/>
      <c r="BE71" s="301"/>
      <c r="BF71" s="303"/>
      <c r="BG71" s="312">
        <v>2</v>
      </c>
      <c r="BH71" s="313"/>
      <c r="BI71" s="250">
        <v>1</v>
      </c>
      <c r="BJ71" s="315"/>
      <c r="BK71" s="312">
        <v>8</v>
      </c>
      <c r="BL71" s="313"/>
      <c r="BM71" s="313">
        <v>2.9</v>
      </c>
      <c r="BN71" s="314"/>
      <c r="BO71" s="302">
        <v>0</v>
      </c>
      <c r="BP71" s="303"/>
      <c r="BQ71" s="302">
        <v>1</v>
      </c>
      <c r="BR71" s="303"/>
      <c r="BV71" s="241">
        <v>2</v>
      </c>
      <c r="BW71" s="242"/>
      <c r="BX71" s="241">
        <f ca="1">IF($E$19=$BA$116,U56,W56)</f>
        <v>3.02</v>
      </c>
      <c r="BY71" s="242"/>
      <c r="BZ71" s="260" t="s">
        <v>303</v>
      </c>
      <c r="CA71" s="260"/>
      <c r="CB71" s="260"/>
      <c r="CC71" s="260"/>
      <c r="CD71" s="260"/>
      <c r="CE71" s="260"/>
      <c r="CF71" s="261"/>
      <c r="CH71" s="245">
        <f ca="1">IF(BX88=1,IF(ISEVEN(CH70),CH70,CH70+1),IF(ISEVEN(CH70),CH70+1,CH70))</f>
        <v>13</v>
      </c>
      <c r="CI71" s="246"/>
      <c r="CJ71" s="245">
        <f ca="1">IF(BX93=1,IF(ISEVEN(CJ70),CJ70,CJ70+1),IF(ISEVEN(CJ70),CJ70+1,CJ70))</f>
        <v>13</v>
      </c>
      <c r="CK71" s="247"/>
      <c r="CL71" s="286" t="s">
        <v>318</v>
      </c>
      <c r="CM71" s="287"/>
      <c r="CN71" s="287"/>
      <c r="CO71" s="287"/>
      <c r="CP71" s="287"/>
      <c r="CQ71" s="287"/>
      <c r="CR71" s="287"/>
      <c r="CZ71" s="11"/>
      <c r="DA71" s="11"/>
      <c r="DC71" s="11"/>
      <c r="DD71" s="11"/>
      <c r="DE71" s="11"/>
      <c r="DF71" s="11"/>
      <c r="DG71" s="11"/>
      <c r="DH71" s="211"/>
      <c r="DI71"/>
      <c r="DJ71"/>
      <c r="DL71"/>
      <c r="DM71"/>
      <c r="EF71"/>
      <c r="EG71"/>
      <c r="ES71" s="160" t="str">
        <f>""</f>
        <v/>
      </c>
      <c r="ET71" s="238"/>
      <c r="EU71" s="238"/>
      <c r="EV71" s="238"/>
      <c r="EW71" s="133" t="str">
        <f ca="1"/>
        <v xml:space="preserve">Easywave      = </v>
      </c>
      <c r="EX71" s="114" t="s">
        <v>4</v>
      </c>
      <c r="EY71" s="116" t="s">
        <v>4</v>
      </c>
      <c r="EZ71" s="116"/>
      <c r="FA71" s="121"/>
    </row>
    <row r="72" spans="1:157" s="4" customFormat="1" ht="15" hidden="1" customHeight="1" thickBot="1" x14ac:dyDescent="0.3">
      <c r="A72" s="313" t="str">
        <f t="shared" ca="1" si="1"/>
        <v>DS-XL Corded</v>
      </c>
      <c r="B72" s="313"/>
      <c r="C72" s="313"/>
      <c r="D72" s="313"/>
      <c r="E72" s="313"/>
      <c r="F72" s="314"/>
      <c r="G72" s="13">
        <f t="shared" si="2"/>
        <v>15</v>
      </c>
      <c r="H72" s="74">
        <f t="shared" ca="1" si="0"/>
        <v>0</v>
      </c>
      <c r="J72" s="13">
        <v>3</v>
      </c>
      <c r="L72" s="4">
        <v>2</v>
      </c>
      <c r="U72" s="302">
        <v>0</v>
      </c>
      <c r="V72" s="301"/>
      <c r="W72" s="301"/>
      <c r="X72" s="303"/>
      <c r="Y72" s="88">
        <v>-6.2</v>
      </c>
      <c r="Z72" s="83"/>
      <c r="AA72" s="83">
        <v>-3.6</v>
      </c>
      <c r="AB72" s="83"/>
      <c r="AC72" s="83"/>
      <c r="AD72" s="83"/>
      <c r="AE72" s="83"/>
      <c r="AF72" s="84"/>
      <c r="AG72" s="302">
        <v>1</v>
      </c>
      <c r="AH72" s="301"/>
      <c r="AI72" s="301"/>
      <c r="AJ72" s="303"/>
      <c r="AK72" s="302">
        <v>1</v>
      </c>
      <c r="AL72" s="301"/>
      <c r="AM72" s="301"/>
      <c r="AN72" s="301"/>
      <c r="AO72" s="301"/>
      <c r="AP72" s="301"/>
      <c r="AQ72" s="301"/>
      <c r="AR72" s="303"/>
      <c r="AS72" s="302">
        <v>0</v>
      </c>
      <c r="AT72" s="301"/>
      <c r="AU72" s="301"/>
      <c r="AV72" s="303"/>
      <c r="AW72" s="302">
        <v>0</v>
      </c>
      <c r="AX72" s="301"/>
      <c r="AY72" s="301"/>
      <c r="AZ72" s="303"/>
      <c r="BA72" s="302">
        <v>1.2</v>
      </c>
      <c r="BB72" s="301"/>
      <c r="BC72" s="301">
        <v>1.2</v>
      </c>
      <c r="BD72" s="301"/>
      <c r="BE72" s="301"/>
      <c r="BF72" s="303"/>
      <c r="BG72" s="309">
        <v>1</v>
      </c>
      <c r="BH72" s="310"/>
      <c r="BI72" s="310"/>
      <c r="BJ72" s="311"/>
      <c r="BK72" s="309">
        <v>7.1</v>
      </c>
      <c r="BL72" s="310"/>
      <c r="BM72" s="310"/>
      <c r="BN72" s="311"/>
      <c r="BO72" s="302">
        <v>0</v>
      </c>
      <c r="BP72" s="303"/>
      <c r="BQ72" s="302">
        <v>0</v>
      </c>
      <c r="BR72" s="303"/>
      <c r="BV72" s="104"/>
      <c r="BW72" s="102"/>
      <c r="BX72" s="102"/>
      <c r="CH72" s="268">
        <f ca="1">IF(E19=BA115,CH71,IF(BQ56=0,CH71,CH74-BX79))</f>
        <v>13</v>
      </c>
      <c r="CI72" s="292"/>
      <c r="CJ72" s="268">
        <f ca="1">CJ71</f>
        <v>13</v>
      </c>
      <c r="CK72" s="269"/>
      <c r="CL72" s="286" t="s">
        <v>319</v>
      </c>
      <c r="CM72" s="287"/>
      <c r="CN72" s="287"/>
      <c r="CO72" s="287"/>
      <c r="CP72" s="287"/>
      <c r="CQ72" s="287"/>
      <c r="CR72" s="287"/>
      <c r="DH72"/>
      <c r="DI72"/>
      <c r="DJ72"/>
      <c r="DL72"/>
      <c r="DM72"/>
      <c r="EF72" s="60"/>
      <c r="EG72" s="60"/>
      <c r="ES72" s="160" t="str">
        <f>""</f>
        <v/>
      </c>
      <c r="ET72" s="238"/>
      <c r="EU72" s="238"/>
      <c r="EV72" s="238"/>
      <c r="EW72" s="134" t="str">
        <f ca="1"/>
        <v>Carrier distance:</v>
      </c>
      <c r="EX72" s="111" t="s">
        <v>25</v>
      </c>
      <c r="EY72" s="113" t="s">
        <v>194</v>
      </c>
      <c r="EZ72" s="113"/>
      <c r="FA72" s="122"/>
    </row>
    <row r="73" spans="1:157" s="4" customFormat="1" ht="15.75" hidden="1" thickBot="1" x14ac:dyDescent="0.3">
      <c r="A73" s="313" t="str">
        <f t="shared" ca="1" si="1"/>
        <v>DS-XL LED</v>
      </c>
      <c r="B73" s="313"/>
      <c r="C73" s="313"/>
      <c r="D73" s="313"/>
      <c r="E73" s="313"/>
      <c r="F73" s="314"/>
      <c r="G73" s="13">
        <f t="shared" si="2"/>
        <v>16</v>
      </c>
      <c r="H73" s="74">
        <f t="shared" ca="1" si="0"/>
        <v>0</v>
      </c>
      <c r="J73" s="13">
        <v>2</v>
      </c>
      <c r="U73" s="302">
        <v>0</v>
      </c>
      <c r="V73" s="301"/>
      <c r="W73" s="301"/>
      <c r="X73" s="303"/>
      <c r="Y73" s="302">
        <v>-0.55000000000000004</v>
      </c>
      <c r="Z73" s="301"/>
      <c r="AA73" s="301"/>
      <c r="AB73" s="301"/>
      <c r="AC73" s="301"/>
      <c r="AD73" s="301"/>
      <c r="AE73" s="301"/>
      <c r="AF73" s="303"/>
      <c r="AG73" s="302">
        <v>0</v>
      </c>
      <c r="AH73" s="301"/>
      <c r="AI73" s="301"/>
      <c r="AJ73" s="303"/>
      <c r="AK73" s="302">
        <v>0</v>
      </c>
      <c r="AL73" s="301"/>
      <c r="AM73" s="301"/>
      <c r="AN73" s="301"/>
      <c r="AO73" s="301"/>
      <c r="AP73" s="301"/>
      <c r="AQ73" s="301"/>
      <c r="AR73" s="303"/>
      <c r="AS73" s="302">
        <v>1</v>
      </c>
      <c r="AT73" s="301"/>
      <c r="AU73" s="301"/>
      <c r="AV73" s="303"/>
      <c r="AW73" s="302">
        <v>1</v>
      </c>
      <c r="AX73" s="301"/>
      <c r="AY73" s="301"/>
      <c r="AZ73" s="303"/>
      <c r="BA73" s="302">
        <v>1.2</v>
      </c>
      <c r="BB73" s="301"/>
      <c r="BC73" s="301">
        <v>0.3</v>
      </c>
      <c r="BD73" s="301"/>
      <c r="BE73" s="301"/>
      <c r="BF73" s="303"/>
      <c r="BG73" s="309">
        <v>0</v>
      </c>
      <c r="BH73" s="310"/>
      <c r="BI73" s="310"/>
      <c r="BJ73" s="311"/>
      <c r="BK73" s="309">
        <v>0</v>
      </c>
      <c r="BL73" s="310"/>
      <c r="BM73" s="310"/>
      <c r="BN73" s="311"/>
      <c r="BO73" s="302">
        <v>0</v>
      </c>
      <c r="BP73" s="303"/>
      <c r="BQ73" s="302">
        <v>0</v>
      </c>
      <c r="BR73" s="303"/>
      <c r="BV73" s="256" t="s">
        <v>73</v>
      </c>
      <c r="BW73" s="257"/>
      <c r="BX73" s="258">
        <f ca="1">IF(L56=1,BX75,IF(L56=2,BX76,IF(L56=3,BX77,BX74)))</f>
        <v>1.45</v>
      </c>
      <c r="BY73" s="259"/>
      <c r="BZ73" s="254" t="s">
        <v>81</v>
      </c>
      <c r="CA73" s="254"/>
      <c r="CB73" s="254"/>
      <c r="CC73" s="254"/>
      <c r="CD73" s="254"/>
      <c r="CE73" s="254"/>
      <c r="CF73" s="255"/>
      <c r="CH73" s="270"/>
      <c r="CI73" s="293"/>
      <c r="CJ73" s="270"/>
      <c r="CK73" s="271"/>
      <c r="CL73" s="286"/>
      <c r="CM73" s="287"/>
      <c r="CN73" s="287"/>
      <c r="CO73" s="287"/>
      <c r="CP73" s="287"/>
      <c r="CQ73" s="287"/>
      <c r="CR73" s="287"/>
      <c r="DE73"/>
      <c r="DF73"/>
      <c r="DH73"/>
      <c r="DI73"/>
      <c r="DJ73"/>
      <c r="DL73"/>
      <c r="DM73"/>
      <c r="EF73"/>
      <c r="EG73"/>
      <c r="ES73" s="160" t="str">
        <f>""</f>
        <v/>
      </c>
      <c r="ET73" s="238"/>
      <c r="EU73" s="238"/>
      <c r="EV73" s="238"/>
      <c r="EW73" s="162" t="str">
        <f ca="1"/>
        <v xml:space="preserve">5,4cm / 6cm / 8cm   = </v>
      </c>
      <c r="EX73" s="163" t="s">
        <v>272</v>
      </c>
      <c r="EY73" s="129" t="s">
        <v>272</v>
      </c>
      <c r="EZ73" s="129"/>
      <c r="FA73" s="20"/>
    </row>
    <row r="74" spans="1:157" s="4" customFormat="1" ht="15.75" hidden="1" thickTop="1" x14ac:dyDescent="0.25">
      <c r="A74" s="313" t="str">
        <f t="shared" ca="1" si="1"/>
        <v>DS-XL LED Motorised</v>
      </c>
      <c r="B74" s="313"/>
      <c r="C74" s="313"/>
      <c r="D74" s="313"/>
      <c r="E74" s="313"/>
      <c r="F74" s="314"/>
      <c r="G74" s="13">
        <f t="shared" si="2"/>
        <v>17</v>
      </c>
      <c r="H74" s="74">
        <f t="shared" ca="1" si="0"/>
        <v>0</v>
      </c>
      <c r="J74" s="13">
        <v>1</v>
      </c>
      <c r="K74" s="4">
        <v>2</v>
      </c>
      <c r="L74" s="4">
        <v>1</v>
      </c>
      <c r="M74" s="4">
        <v>1</v>
      </c>
      <c r="N74" s="4">
        <v>1</v>
      </c>
      <c r="O74" s="4">
        <v>1</v>
      </c>
      <c r="P74" s="4">
        <v>1</v>
      </c>
      <c r="R74" s="4">
        <v>1</v>
      </c>
      <c r="S74" s="4">
        <v>1</v>
      </c>
      <c r="U74" s="304">
        <v>0</v>
      </c>
      <c r="V74" s="305"/>
      <c r="W74" s="305">
        <v>2.95</v>
      </c>
      <c r="X74" s="308"/>
      <c r="Y74" s="312">
        <v>-7.2</v>
      </c>
      <c r="Z74" s="313"/>
      <c r="AA74" s="313">
        <v>-6.9</v>
      </c>
      <c r="AB74" s="313"/>
      <c r="AC74" s="313">
        <v>0.75</v>
      </c>
      <c r="AD74" s="313"/>
      <c r="AE74" s="313">
        <v>1.45</v>
      </c>
      <c r="AF74" s="314"/>
      <c r="AG74" s="312">
        <v>2</v>
      </c>
      <c r="AH74" s="313"/>
      <c r="AI74" s="313">
        <v>1</v>
      </c>
      <c r="AJ74" s="314"/>
      <c r="AK74" s="312">
        <v>1</v>
      </c>
      <c r="AL74" s="313"/>
      <c r="AM74" s="313">
        <v>0</v>
      </c>
      <c r="AN74" s="313"/>
      <c r="AO74" s="313">
        <v>0</v>
      </c>
      <c r="AP74" s="313"/>
      <c r="AQ74" s="313">
        <v>0</v>
      </c>
      <c r="AR74" s="314"/>
      <c r="AS74" s="312">
        <v>1</v>
      </c>
      <c r="AT74" s="313"/>
      <c r="AU74" s="250">
        <v>0</v>
      </c>
      <c r="AV74" s="315"/>
      <c r="AW74" s="312">
        <v>0</v>
      </c>
      <c r="AX74" s="313"/>
      <c r="AY74" s="250">
        <v>1</v>
      </c>
      <c r="AZ74" s="315"/>
      <c r="BA74" s="302">
        <v>6.5</v>
      </c>
      <c r="BB74" s="301"/>
      <c r="BC74" s="301">
        <v>4</v>
      </c>
      <c r="BD74" s="301"/>
      <c r="BE74" s="301"/>
      <c r="BF74" s="303"/>
      <c r="BG74" s="312">
        <v>2</v>
      </c>
      <c r="BH74" s="313"/>
      <c r="BI74" s="250">
        <v>1</v>
      </c>
      <c r="BJ74" s="315"/>
      <c r="BK74" s="312">
        <v>8</v>
      </c>
      <c r="BL74" s="313"/>
      <c r="BM74" s="313">
        <v>2.9</v>
      </c>
      <c r="BN74" s="314"/>
      <c r="BO74" s="302">
        <v>0</v>
      </c>
      <c r="BP74" s="303"/>
      <c r="BQ74" s="302">
        <v>1</v>
      </c>
      <c r="BR74" s="303"/>
      <c r="BV74" s="288">
        <v>0</v>
      </c>
      <c r="BW74" s="289"/>
      <c r="BX74" s="252">
        <f ca="1">Y56</f>
        <v>-7.2</v>
      </c>
      <c r="BY74" s="251"/>
      <c r="BZ74" s="264" t="s">
        <v>302</v>
      </c>
      <c r="CA74" s="264"/>
      <c r="CB74" s="264"/>
      <c r="CC74" s="264"/>
      <c r="CD74" s="264"/>
      <c r="CE74" s="264"/>
      <c r="CF74" s="265"/>
      <c r="CH74" s="268">
        <f ca="1">IF(E19=BA115,CH72+BX79,IF(BQ56=0,CH72+BX79,CJ74))</f>
        <v>14</v>
      </c>
      <c r="CI74" s="269"/>
      <c r="CJ74" s="290">
        <f ca="1">CJ71+BX84</f>
        <v>13</v>
      </c>
      <c r="CK74" s="291"/>
      <c r="CL74" s="275" t="s">
        <v>320</v>
      </c>
      <c r="CM74" s="276"/>
      <c r="CN74" s="276"/>
      <c r="CO74" s="276"/>
      <c r="CP74" s="276"/>
      <c r="CQ74" s="276"/>
      <c r="CR74" s="276"/>
      <c r="DE74"/>
      <c r="DF74"/>
      <c r="DH74"/>
      <c r="DI74"/>
      <c r="DJ74"/>
      <c r="DL74" s="217"/>
      <c r="DM74" s="217"/>
      <c r="EF74"/>
      <c r="EG74"/>
      <c r="ES74" s="160" t="str">
        <f>""</f>
        <v/>
      </c>
      <c r="ET74" s="238"/>
      <c r="EU74" s="238"/>
      <c r="EV74" s="238"/>
      <c r="EW74" s="133" t="str">
        <f ca="1"/>
        <v xml:space="preserve">2 1/8"- 2 3/8"- 2 5/8"  = </v>
      </c>
      <c r="EX74" s="114" t="s">
        <v>271</v>
      </c>
      <c r="EY74" s="116" t="s">
        <v>271</v>
      </c>
      <c r="EZ74" s="116"/>
      <c r="FA74" s="121"/>
    </row>
    <row r="75" spans="1:157" s="4" customFormat="1" ht="15" hidden="1" customHeight="1" thickBot="1" x14ac:dyDescent="0.3">
      <c r="A75" s="313" t="str">
        <f t="shared" ca="1" si="1"/>
        <v>FMS Dual</v>
      </c>
      <c r="B75" s="313"/>
      <c r="C75" s="313"/>
      <c r="D75" s="313"/>
      <c r="E75" s="313"/>
      <c r="F75" s="314"/>
      <c r="G75" s="13">
        <f t="shared" si="2"/>
        <v>18</v>
      </c>
      <c r="H75" s="74">
        <f t="shared" ca="1" si="0"/>
        <v>0</v>
      </c>
      <c r="J75" s="13">
        <v>1</v>
      </c>
      <c r="L75" s="4">
        <v>3</v>
      </c>
      <c r="T75" s="4">
        <v>1</v>
      </c>
      <c r="U75" s="302">
        <v>0</v>
      </c>
      <c r="V75" s="301"/>
      <c r="W75" s="301"/>
      <c r="X75" s="303"/>
      <c r="Y75" s="85" t="s">
        <v>70</v>
      </c>
      <c r="Z75" s="86"/>
      <c r="AA75" s="86"/>
      <c r="AB75" s="86"/>
      <c r="AC75" s="86"/>
      <c r="AD75" s="86"/>
      <c r="AE75" s="86"/>
      <c r="AF75" s="87"/>
      <c r="AG75" s="302">
        <v>0</v>
      </c>
      <c r="AH75" s="301"/>
      <c r="AI75" s="301"/>
      <c r="AJ75" s="303"/>
      <c r="AK75" s="302">
        <v>0</v>
      </c>
      <c r="AL75" s="301"/>
      <c r="AM75" s="301"/>
      <c r="AN75" s="301"/>
      <c r="AO75" s="301"/>
      <c r="AP75" s="301"/>
      <c r="AQ75" s="301"/>
      <c r="AR75" s="303"/>
      <c r="AS75" s="302">
        <v>1</v>
      </c>
      <c r="AT75" s="301"/>
      <c r="AU75" s="301"/>
      <c r="AV75" s="303"/>
      <c r="AW75" s="302">
        <v>1</v>
      </c>
      <c r="AX75" s="301"/>
      <c r="AY75" s="301"/>
      <c r="AZ75" s="303"/>
      <c r="BA75" s="302">
        <v>8.5</v>
      </c>
      <c r="BB75" s="301"/>
      <c r="BC75" s="301">
        <v>4</v>
      </c>
      <c r="BD75" s="301"/>
      <c r="BE75" s="301"/>
      <c r="BF75" s="303"/>
      <c r="BG75" s="309">
        <v>1</v>
      </c>
      <c r="BH75" s="310"/>
      <c r="BI75" s="310"/>
      <c r="BJ75" s="311"/>
      <c r="BK75" s="309">
        <v>0</v>
      </c>
      <c r="BL75" s="310"/>
      <c r="BM75" s="310"/>
      <c r="BN75" s="311"/>
      <c r="BO75" s="302">
        <v>0</v>
      </c>
      <c r="BP75" s="303"/>
      <c r="BQ75" s="302">
        <v>0</v>
      </c>
      <c r="BR75" s="303"/>
      <c r="BV75" s="252">
        <v>1</v>
      </c>
      <c r="BW75" s="251"/>
      <c r="BX75" s="252">
        <f ca="1">IF(E21=BA123, IF(E19=BA116, Y56, AA56 ), IF(E21=BA124,IF(E19=BA116, AC56, AE56),Y56 ))</f>
        <v>1.45</v>
      </c>
      <c r="BY75" s="251"/>
      <c r="BZ75" s="262" t="s">
        <v>315</v>
      </c>
      <c r="CA75" s="262"/>
      <c r="CB75" s="262"/>
      <c r="CC75" s="262"/>
      <c r="CD75" s="262"/>
      <c r="CE75" s="262"/>
      <c r="CF75" s="263"/>
      <c r="CH75" s="270"/>
      <c r="CI75" s="271"/>
      <c r="CJ75" s="270"/>
      <c r="CK75" s="271"/>
      <c r="CL75" s="275"/>
      <c r="CM75" s="276"/>
      <c r="CN75" s="276"/>
      <c r="CO75" s="276"/>
      <c r="CP75" s="276"/>
      <c r="CQ75" s="276"/>
      <c r="CR75" s="276"/>
      <c r="DE75"/>
      <c r="DF75"/>
      <c r="DH75"/>
      <c r="DI75"/>
      <c r="DJ75"/>
      <c r="DL75"/>
      <c r="DM75"/>
      <c r="EF75"/>
      <c r="EG75"/>
      <c r="ES75" s="160" t="str">
        <f>""</f>
        <v/>
      </c>
      <c r="ET75" s="238"/>
      <c r="EU75" s="238"/>
      <c r="EV75" s="238"/>
      <c r="EW75" s="134" t="str">
        <f ca="1"/>
        <v>One-way draw &lt;&gt;</v>
      </c>
      <c r="EX75" s="111" t="s">
        <v>10</v>
      </c>
      <c r="EY75" s="113" t="s">
        <v>195</v>
      </c>
      <c r="EZ75" s="113"/>
      <c r="FA75" s="122"/>
    </row>
    <row r="76" spans="1:157" s="4" customFormat="1" ht="15.75" hidden="1" thickBot="1" x14ac:dyDescent="0.3">
      <c r="A76" s="313" t="str">
        <f t="shared" ca="1" si="1"/>
        <v>MRS Universal</v>
      </c>
      <c r="B76" s="313"/>
      <c r="C76" s="313"/>
      <c r="D76" s="313"/>
      <c r="E76" s="313"/>
      <c r="F76" s="314"/>
      <c r="G76" s="13">
        <f t="shared" si="2"/>
        <v>19</v>
      </c>
      <c r="H76" s="74">
        <f t="shared" ca="1" si="0"/>
        <v>0</v>
      </c>
      <c r="J76" s="13">
        <v>1</v>
      </c>
      <c r="K76" s="4">
        <v>1</v>
      </c>
      <c r="L76" s="4">
        <v>1</v>
      </c>
      <c r="M76" s="4">
        <v>1</v>
      </c>
      <c r="N76" s="4">
        <v>1</v>
      </c>
      <c r="O76" s="4">
        <v>1</v>
      </c>
      <c r="P76" s="4">
        <v>1</v>
      </c>
      <c r="R76" s="4">
        <v>1</v>
      </c>
      <c r="S76" s="4">
        <v>1</v>
      </c>
      <c r="U76" s="312">
        <v>0</v>
      </c>
      <c r="V76" s="313"/>
      <c r="W76" s="313">
        <v>2.5299999999999998</v>
      </c>
      <c r="X76" s="314"/>
      <c r="Y76" s="312">
        <v>-7.2</v>
      </c>
      <c r="Z76" s="313"/>
      <c r="AA76" s="313">
        <v>-6.9</v>
      </c>
      <c r="AB76" s="313"/>
      <c r="AC76" s="313">
        <v>0.75</v>
      </c>
      <c r="AD76" s="313"/>
      <c r="AE76" s="313">
        <v>1.45</v>
      </c>
      <c r="AF76" s="314"/>
      <c r="AG76" s="312">
        <v>1</v>
      </c>
      <c r="AH76" s="313"/>
      <c r="AI76" s="313">
        <v>0</v>
      </c>
      <c r="AJ76" s="314"/>
      <c r="AK76" s="312">
        <v>1</v>
      </c>
      <c r="AL76" s="313"/>
      <c r="AM76" s="313">
        <v>0</v>
      </c>
      <c r="AN76" s="313"/>
      <c r="AO76" s="313">
        <v>0</v>
      </c>
      <c r="AP76" s="313"/>
      <c r="AQ76" s="313">
        <v>0</v>
      </c>
      <c r="AR76" s="314"/>
      <c r="AS76" s="312">
        <v>0</v>
      </c>
      <c r="AT76" s="313"/>
      <c r="AU76" s="250">
        <v>1</v>
      </c>
      <c r="AV76" s="315"/>
      <c r="AW76" s="312">
        <v>0</v>
      </c>
      <c r="AX76" s="313"/>
      <c r="AY76" s="250">
        <v>1</v>
      </c>
      <c r="AZ76" s="315"/>
      <c r="BA76" s="302">
        <v>0</v>
      </c>
      <c r="BB76" s="301"/>
      <c r="BC76" s="301">
        <v>3.5</v>
      </c>
      <c r="BD76" s="301"/>
      <c r="BE76" s="301"/>
      <c r="BF76" s="303"/>
      <c r="BG76" s="312">
        <v>2</v>
      </c>
      <c r="BH76" s="313"/>
      <c r="BI76" s="250">
        <v>1</v>
      </c>
      <c r="BJ76" s="315"/>
      <c r="BK76" s="312">
        <v>8</v>
      </c>
      <c r="BL76" s="313"/>
      <c r="BM76" s="313">
        <v>2.9</v>
      </c>
      <c r="BN76" s="314"/>
      <c r="BO76" s="302">
        <v>0</v>
      </c>
      <c r="BP76" s="303"/>
      <c r="BQ76" s="302">
        <v>0</v>
      </c>
      <c r="BR76" s="303"/>
      <c r="BV76" s="252">
        <v>2</v>
      </c>
      <c r="BW76" s="251"/>
      <c r="BX76" s="252">
        <f ca="1">IF($E$19=$BA$116,Y56,AA56)</f>
        <v>-6.9</v>
      </c>
      <c r="BY76" s="251"/>
      <c r="BZ76" s="297" t="s">
        <v>303</v>
      </c>
      <c r="CA76" s="297"/>
      <c r="CB76" s="297"/>
      <c r="CC76" s="297"/>
      <c r="CD76" s="297"/>
      <c r="CE76" s="297"/>
      <c r="CF76" s="298"/>
      <c r="DE76"/>
      <c r="DF76"/>
      <c r="DH76"/>
      <c r="DI76"/>
      <c r="DJ76"/>
      <c r="DL76"/>
      <c r="DM76"/>
      <c r="EF76"/>
      <c r="EG76"/>
      <c r="ES76" s="160" t="str">
        <f>""</f>
        <v/>
      </c>
      <c r="ET76" s="238"/>
      <c r="EU76" s="238"/>
      <c r="EV76" s="238"/>
      <c r="EW76" s="133" t="str">
        <f ca="1"/>
        <v xml:space="preserve">Center closing   = </v>
      </c>
      <c r="EX76" s="114" t="s">
        <v>11</v>
      </c>
      <c r="EY76" s="116" t="s">
        <v>241</v>
      </c>
      <c r="EZ76" s="116"/>
      <c r="FA76" s="121"/>
    </row>
    <row r="77" spans="1:157" s="4" customFormat="1" ht="15.75" hidden="1" thickBot="1" x14ac:dyDescent="0.3">
      <c r="A77" s="313" t="str">
        <f t="shared" ca="1" si="1"/>
        <v>CS Recess</v>
      </c>
      <c r="B77" s="313"/>
      <c r="C77" s="313"/>
      <c r="D77" s="313"/>
      <c r="E77" s="313"/>
      <c r="F77" s="314"/>
      <c r="G77" s="13">
        <f t="shared" ref="G77:G79" si="3">G76+1</f>
        <v>20</v>
      </c>
      <c r="H77" s="74">
        <f t="shared" ca="1" si="0"/>
        <v>0</v>
      </c>
      <c r="I77"/>
      <c r="J77" s="13">
        <v>2</v>
      </c>
      <c r="Q77" s="4">
        <v>1</v>
      </c>
      <c r="T77" s="4">
        <v>1</v>
      </c>
      <c r="U77" s="302">
        <v>0</v>
      </c>
      <c r="V77" s="301"/>
      <c r="W77" s="301"/>
      <c r="X77" s="303"/>
      <c r="Y77" s="302">
        <v>1.5</v>
      </c>
      <c r="Z77" s="301"/>
      <c r="AA77" s="301"/>
      <c r="AB77" s="301"/>
      <c r="AC77" s="301"/>
      <c r="AD77" s="301"/>
      <c r="AE77" s="301"/>
      <c r="AF77" s="303"/>
      <c r="AG77" s="302">
        <v>0</v>
      </c>
      <c r="AH77" s="301"/>
      <c r="AI77" s="301"/>
      <c r="AJ77" s="303"/>
      <c r="AK77" s="302">
        <v>0</v>
      </c>
      <c r="AL77" s="301"/>
      <c r="AM77" s="301"/>
      <c r="AN77" s="301"/>
      <c r="AO77" s="301"/>
      <c r="AP77" s="301"/>
      <c r="AQ77" s="301"/>
      <c r="AR77" s="303"/>
      <c r="AS77" s="302">
        <v>1</v>
      </c>
      <c r="AT77" s="301"/>
      <c r="AU77" s="301"/>
      <c r="AV77" s="303"/>
      <c r="AW77" s="302">
        <v>1</v>
      </c>
      <c r="AX77" s="301"/>
      <c r="AY77" s="301"/>
      <c r="AZ77" s="303"/>
      <c r="BA77" s="302">
        <v>3</v>
      </c>
      <c r="BB77" s="301"/>
      <c r="BC77" s="313">
        <v>3</v>
      </c>
      <c r="BD77" s="313"/>
      <c r="BE77" s="313">
        <v>0.5</v>
      </c>
      <c r="BF77" s="313"/>
      <c r="BG77" s="309">
        <v>0</v>
      </c>
      <c r="BH77" s="310"/>
      <c r="BI77" s="310"/>
      <c r="BJ77" s="311"/>
      <c r="BK77" s="309">
        <v>0</v>
      </c>
      <c r="BL77" s="310"/>
      <c r="BM77" s="310"/>
      <c r="BN77" s="311"/>
      <c r="BO77" s="302">
        <v>2.2000000000000002</v>
      </c>
      <c r="BP77" s="303"/>
      <c r="BQ77" s="302">
        <v>0</v>
      </c>
      <c r="BR77" s="303"/>
      <c r="BV77" s="241">
        <v>3</v>
      </c>
      <c r="BW77" s="242"/>
      <c r="BX77" s="241">
        <f>$E$23/2</f>
        <v>0</v>
      </c>
      <c r="BY77" s="242"/>
      <c r="BZ77" s="299" t="s">
        <v>305</v>
      </c>
      <c r="CA77" s="299"/>
      <c r="CB77" s="299"/>
      <c r="CC77" s="299"/>
      <c r="CD77" s="299"/>
      <c r="CE77" s="299"/>
      <c r="CF77" s="300"/>
      <c r="CH77" s="268">
        <f ca="1">IF(AP112=BA117,E27*CH74,ROUNDUP((E27*CH74)/AL111,0))</f>
        <v>224</v>
      </c>
      <c r="CI77" s="269"/>
      <c r="CJ77" s="272">
        <f ca="1">IF(AP112=BA117,E27*CJ74,ROUNDUP((E27*CJ74)/AL111,0))</f>
        <v>208</v>
      </c>
      <c r="CK77" s="269"/>
      <c r="CL77" s="275" t="s">
        <v>321</v>
      </c>
      <c r="CM77" s="276"/>
      <c r="CN77" s="276"/>
      <c r="CO77" s="276"/>
      <c r="CP77" s="276"/>
      <c r="CQ77" s="276"/>
      <c r="CR77" s="276"/>
      <c r="DE77"/>
      <c r="DF77"/>
      <c r="DH77"/>
      <c r="DI77"/>
      <c r="DJ77"/>
      <c r="DL77" s="50"/>
      <c r="DM77" s="50"/>
      <c r="EF77"/>
      <c r="EG77"/>
      <c r="ES77" s="160" t="str">
        <f>""</f>
        <v/>
      </c>
      <c r="ET77" s="238"/>
      <c r="EU77" s="238"/>
      <c r="EV77" s="238"/>
      <c r="EW77" s="134" t="str">
        <f ca="1"/>
        <v>Master type:</v>
      </c>
      <c r="EX77" s="111" t="s">
        <v>153</v>
      </c>
      <c r="EY77" s="113" t="s">
        <v>196</v>
      </c>
      <c r="EZ77" s="113"/>
      <c r="FA77" s="122"/>
    </row>
    <row r="78" spans="1:157" s="4" customFormat="1" ht="15.75" hidden="1" thickBot="1" x14ac:dyDescent="0.3">
      <c r="A78" s="313" t="str">
        <f t="shared" ca="1" si="1"/>
        <v>CRS Square 30</v>
      </c>
      <c r="B78" s="313"/>
      <c r="C78" s="313"/>
      <c r="D78" s="313"/>
      <c r="E78" s="313"/>
      <c r="F78" s="313"/>
      <c r="G78" s="13">
        <f t="shared" si="3"/>
        <v>21</v>
      </c>
      <c r="H78" s="74">
        <f t="shared" ref="H78:H79" ca="1" si="4">IF(A78=$E$11,G78,0)</f>
        <v>0</v>
      </c>
      <c r="I78"/>
      <c r="J78" s="13">
        <v>2</v>
      </c>
      <c r="L78" s="4">
        <v>1</v>
      </c>
      <c r="M78" s="4">
        <v>1</v>
      </c>
      <c r="N78" s="4">
        <v>1</v>
      </c>
      <c r="O78" s="4">
        <v>1</v>
      </c>
      <c r="P78" s="4">
        <v>1</v>
      </c>
      <c r="R78" s="4">
        <v>1</v>
      </c>
      <c r="T78" s="4">
        <v>1</v>
      </c>
      <c r="U78" s="302">
        <v>0</v>
      </c>
      <c r="V78" s="301"/>
      <c r="W78" s="301"/>
      <c r="X78" s="303"/>
      <c r="Y78" s="312">
        <v>-7.2</v>
      </c>
      <c r="Z78" s="313"/>
      <c r="AA78" s="313">
        <v>-6.9</v>
      </c>
      <c r="AB78" s="313"/>
      <c r="AC78" s="313">
        <v>0.75</v>
      </c>
      <c r="AD78" s="313"/>
      <c r="AE78" s="313">
        <v>1.45</v>
      </c>
      <c r="AF78" s="314"/>
      <c r="AG78" s="312">
        <v>1</v>
      </c>
      <c r="AH78" s="313"/>
      <c r="AI78" s="313">
        <v>0</v>
      </c>
      <c r="AJ78" s="314"/>
      <c r="AK78" s="312">
        <v>1</v>
      </c>
      <c r="AL78" s="313"/>
      <c r="AM78" s="313">
        <v>0</v>
      </c>
      <c r="AN78" s="313"/>
      <c r="AO78" s="313">
        <v>0</v>
      </c>
      <c r="AP78" s="313"/>
      <c r="AQ78" s="313">
        <v>0</v>
      </c>
      <c r="AR78" s="314"/>
      <c r="AS78" s="312">
        <v>0</v>
      </c>
      <c r="AT78" s="313"/>
      <c r="AU78" s="250">
        <v>1</v>
      </c>
      <c r="AV78" s="315"/>
      <c r="AW78" s="312">
        <v>0</v>
      </c>
      <c r="AX78" s="313"/>
      <c r="AY78" s="250">
        <v>1</v>
      </c>
      <c r="AZ78" s="315"/>
      <c r="BA78" s="302">
        <v>0.5</v>
      </c>
      <c r="BB78" s="301"/>
      <c r="BC78" s="301">
        <v>0.5</v>
      </c>
      <c r="BD78" s="301"/>
      <c r="BE78" s="301"/>
      <c r="BF78" s="301"/>
      <c r="BG78" s="312">
        <v>2</v>
      </c>
      <c r="BH78" s="313"/>
      <c r="BI78" s="250">
        <v>1</v>
      </c>
      <c r="BJ78" s="315"/>
      <c r="BK78" s="312">
        <v>8</v>
      </c>
      <c r="BL78" s="313"/>
      <c r="BM78" s="313">
        <v>2.9</v>
      </c>
      <c r="BN78" s="314"/>
      <c r="BO78" s="302">
        <v>1.07</v>
      </c>
      <c r="BP78" s="303"/>
      <c r="BQ78" s="302">
        <v>0</v>
      </c>
      <c r="BR78" s="303"/>
      <c r="CH78" s="270"/>
      <c r="CI78" s="271"/>
      <c r="CJ78" s="270"/>
      <c r="CK78" s="271"/>
      <c r="CL78" s="275"/>
      <c r="CM78" s="276"/>
      <c r="CN78" s="276"/>
      <c r="CO78" s="276"/>
      <c r="CP78" s="276"/>
      <c r="CQ78" s="276"/>
      <c r="CR78" s="276"/>
      <c r="DE78"/>
      <c r="DF78"/>
      <c r="DH78"/>
      <c r="DI78"/>
      <c r="DJ78"/>
      <c r="DL78"/>
      <c r="DM78"/>
      <c r="EF78"/>
      <c r="EG78"/>
      <c r="ES78" s="160" t="str">
        <f>""</f>
        <v/>
      </c>
      <c r="ET78" s="238"/>
      <c r="EU78" s="238"/>
      <c r="EV78" s="238"/>
      <c r="EW78" s="133" t="str">
        <f ca="1"/>
        <v xml:space="preserve">Steel / Plastic   = </v>
      </c>
      <c r="EX78" s="114" t="s">
        <v>154</v>
      </c>
      <c r="EY78" s="116" t="s">
        <v>240</v>
      </c>
      <c r="EZ78" s="116"/>
      <c r="FA78" s="121"/>
    </row>
    <row r="79" spans="1:157" s="4" customFormat="1" ht="15.75" hidden="1" thickBot="1" x14ac:dyDescent="0.3">
      <c r="A79" s="313" t="str">
        <f t="shared" ca="1" si="1"/>
        <v>CRS Rectangular 45</v>
      </c>
      <c r="B79" s="313"/>
      <c r="C79" s="313"/>
      <c r="D79" s="313"/>
      <c r="E79" s="313"/>
      <c r="F79" s="313"/>
      <c r="G79" s="13">
        <f t="shared" si="3"/>
        <v>22</v>
      </c>
      <c r="H79" s="74">
        <f t="shared" ca="1" si="4"/>
        <v>0</v>
      </c>
      <c r="I79"/>
      <c r="J79" s="13">
        <v>2</v>
      </c>
      <c r="L79" s="4">
        <v>1</v>
      </c>
      <c r="M79" s="4">
        <v>1</v>
      </c>
      <c r="N79" s="4">
        <v>1</v>
      </c>
      <c r="O79" s="4">
        <v>1</v>
      </c>
      <c r="P79" s="4">
        <v>1</v>
      </c>
      <c r="R79" s="4">
        <v>1</v>
      </c>
      <c r="T79" s="4">
        <v>1</v>
      </c>
      <c r="U79" s="302">
        <v>0</v>
      </c>
      <c r="V79" s="301"/>
      <c r="W79" s="301"/>
      <c r="X79" s="303"/>
      <c r="Y79" s="312">
        <v>-7.2</v>
      </c>
      <c r="Z79" s="313"/>
      <c r="AA79" s="313">
        <v>-6.9</v>
      </c>
      <c r="AB79" s="313"/>
      <c r="AC79" s="313">
        <v>0.75</v>
      </c>
      <c r="AD79" s="313"/>
      <c r="AE79" s="313">
        <v>1.45</v>
      </c>
      <c r="AF79" s="314"/>
      <c r="AG79" s="312">
        <v>1</v>
      </c>
      <c r="AH79" s="313"/>
      <c r="AI79" s="313">
        <v>0</v>
      </c>
      <c r="AJ79" s="314"/>
      <c r="AK79" s="312">
        <v>1</v>
      </c>
      <c r="AL79" s="313"/>
      <c r="AM79" s="313">
        <v>0</v>
      </c>
      <c r="AN79" s="313"/>
      <c r="AO79" s="313">
        <v>0</v>
      </c>
      <c r="AP79" s="313"/>
      <c r="AQ79" s="313">
        <v>0</v>
      </c>
      <c r="AR79" s="314"/>
      <c r="AS79" s="312">
        <v>0</v>
      </c>
      <c r="AT79" s="313"/>
      <c r="AU79" s="250">
        <v>1</v>
      </c>
      <c r="AV79" s="315"/>
      <c r="AW79" s="312">
        <v>0</v>
      </c>
      <c r="AX79" s="313"/>
      <c r="AY79" s="250">
        <v>1</v>
      </c>
      <c r="AZ79" s="315"/>
      <c r="BA79" s="302">
        <v>0.5</v>
      </c>
      <c r="BB79" s="301"/>
      <c r="BC79" s="301">
        <v>0.5</v>
      </c>
      <c r="BD79" s="301"/>
      <c r="BE79" s="301"/>
      <c r="BF79" s="301"/>
      <c r="BG79" s="312">
        <v>2</v>
      </c>
      <c r="BH79" s="313"/>
      <c r="BI79" s="250">
        <v>1</v>
      </c>
      <c r="BJ79" s="315"/>
      <c r="BK79" s="312">
        <v>8</v>
      </c>
      <c r="BL79" s="313"/>
      <c r="BM79" s="313">
        <v>2.9</v>
      </c>
      <c r="BN79" s="314"/>
      <c r="BO79" s="302">
        <v>1.07</v>
      </c>
      <c r="BP79" s="303"/>
      <c r="BQ79" s="302">
        <v>0</v>
      </c>
      <c r="BR79" s="303"/>
      <c r="BV79" s="256" t="s">
        <v>74</v>
      </c>
      <c r="BW79" s="257"/>
      <c r="BX79" s="258">
        <f ca="1">IF(M56=1,BX81,IF(M56=2,BX82,BX80))</f>
        <v>1</v>
      </c>
      <c r="BY79" s="259"/>
      <c r="BZ79" s="254" t="s">
        <v>143</v>
      </c>
      <c r="CA79" s="254"/>
      <c r="CB79" s="254"/>
      <c r="CC79" s="254"/>
      <c r="CD79" s="254"/>
      <c r="CE79" s="254"/>
      <c r="CF79" s="255"/>
      <c r="DH79"/>
      <c r="DI79"/>
      <c r="DJ79"/>
      <c r="DL79"/>
      <c r="DM79"/>
      <c r="ES79" s="160" t="str">
        <f>""</f>
        <v/>
      </c>
      <c r="ET79" s="238"/>
      <c r="EU79" s="238"/>
      <c r="EV79" s="238"/>
      <c r="EW79" s="134" t="str">
        <f ca="1"/>
        <v>Distance overlap</v>
      </c>
      <c r="EX79" s="111" t="s">
        <v>251</v>
      </c>
      <c r="EY79" s="128" t="s">
        <v>253</v>
      </c>
      <c r="EZ79" s="113"/>
      <c r="FA79" s="122"/>
    </row>
    <row r="80" spans="1:157" s="4" customFormat="1" ht="15.75" hidden="1" customHeight="1" thickTop="1" x14ac:dyDescent="0.25">
      <c r="A80" s="11"/>
      <c r="B80" s="11"/>
      <c r="BV80" s="288">
        <v>0</v>
      </c>
      <c r="BW80" s="289"/>
      <c r="BX80" s="252">
        <f ca="1">AG56</f>
        <v>2</v>
      </c>
      <c r="BY80" s="251"/>
      <c r="BZ80" s="264" t="s">
        <v>302</v>
      </c>
      <c r="CA80" s="264"/>
      <c r="CB80" s="264"/>
      <c r="CC80" s="264"/>
      <c r="CD80" s="264"/>
      <c r="CE80" s="264"/>
      <c r="CF80" s="265"/>
      <c r="CH80" s="266">
        <f>AL115</f>
        <v>100</v>
      </c>
      <c r="CI80" s="280"/>
      <c r="CJ80" s="266">
        <f>AL115</f>
        <v>100</v>
      </c>
      <c r="CK80" s="267"/>
      <c r="CL80" s="279" t="s">
        <v>148</v>
      </c>
      <c r="CM80" s="279"/>
      <c r="CN80" s="279"/>
      <c r="CO80" s="279"/>
      <c r="CP80" s="279"/>
      <c r="CQ80" s="279"/>
      <c r="CR80" s="279"/>
      <c r="ES80" s="160" t="str">
        <f>""</f>
        <v/>
      </c>
      <c r="ET80" s="238"/>
      <c r="EU80" s="238"/>
      <c r="EV80" s="238"/>
      <c r="EW80" s="133" t="str">
        <f ca="1"/>
        <v xml:space="preserve">in cm           = </v>
      </c>
      <c r="EX80" s="120" t="s">
        <v>252</v>
      </c>
      <c r="EY80" s="143" t="s">
        <v>252</v>
      </c>
      <c r="EZ80" s="116"/>
      <c r="FA80" s="121"/>
    </row>
    <row r="81" spans="1:157" s="4" customFormat="1" ht="15.75" hidden="1" thickBot="1" x14ac:dyDescent="0.3">
      <c r="A81" s="11"/>
      <c r="B81" s="11"/>
      <c r="C81" s="11"/>
      <c r="D81" s="11"/>
      <c r="U81" s="9"/>
      <c r="V81" s="9"/>
      <c r="W81" s="9"/>
      <c r="X81" s="9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9"/>
      <c r="AJ81" s="9"/>
      <c r="AK81" s="64"/>
      <c r="AL81" s="64"/>
      <c r="AM81" s="64"/>
      <c r="AN81" s="64"/>
      <c r="AO81" s="9"/>
      <c r="AP81" s="9"/>
      <c r="AQ81" s="9"/>
      <c r="AR81" s="9"/>
      <c r="AS81" s="64"/>
      <c r="AT81" s="64"/>
      <c r="AU81" s="9"/>
      <c r="AV81" s="9"/>
      <c r="AW81" s="64"/>
      <c r="AX81" s="64"/>
      <c r="AY81" s="9"/>
      <c r="AZ81" s="9"/>
      <c r="BA81" s="64"/>
      <c r="BB81" s="64"/>
      <c r="BC81" s="64"/>
      <c r="BD81" s="9"/>
      <c r="BE81" s="9"/>
      <c r="BF81" s="9"/>
      <c r="BG81" s="64"/>
      <c r="BH81" s="64"/>
      <c r="BI81" s="9"/>
      <c r="BJ81" s="9"/>
      <c r="BK81" s="64"/>
      <c r="BL81" s="64"/>
      <c r="BM81" s="9"/>
      <c r="BN81" s="9"/>
      <c r="BO81" s="64"/>
      <c r="BP81" s="9"/>
      <c r="BV81" s="252">
        <v>1</v>
      </c>
      <c r="BW81" s="251"/>
      <c r="BX81" s="252">
        <f ca="1">IF($E$21=$BA$123,AG56,AI56)</f>
        <v>1</v>
      </c>
      <c r="BY81" s="251"/>
      <c r="BZ81" s="262" t="s">
        <v>304</v>
      </c>
      <c r="CA81" s="262"/>
      <c r="CB81" s="262"/>
      <c r="CC81" s="262"/>
      <c r="CD81" s="262"/>
      <c r="CE81" s="262"/>
      <c r="CF81" s="263"/>
      <c r="CH81" s="245">
        <f ca="1">IF(E19=BA116,CH80/2,CH80)</f>
        <v>100</v>
      </c>
      <c r="CI81" s="246"/>
      <c r="CJ81" s="245">
        <f ca="1">IF(E19=BA116,CJ80/2,CJ80)</f>
        <v>100</v>
      </c>
      <c r="CK81" s="247"/>
      <c r="CL81" s="277" t="str">
        <f>IF(E33=BA130,"/2","…")</f>
        <v>/2</v>
      </c>
      <c r="CM81" s="278"/>
      <c r="CN81" s="279" t="str">
        <f>IF(E33=BA130,EY106,EY107)</f>
        <v>Middensluitend</v>
      </c>
      <c r="CO81" s="279"/>
      <c r="CP81" s="279"/>
      <c r="CQ81" s="279"/>
      <c r="CR81" s="279"/>
      <c r="ES81" s="160" t="str">
        <f>""</f>
        <v/>
      </c>
      <c r="ET81" s="238"/>
      <c r="EU81" s="238"/>
      <c r="EV81" s="238"/>
      <c r="EW81" s="134" t="str">
        <f ca="1"/>
        <v>Asymmetrical</v>
      </c>
      <c r="EX81" s="111" t="s">
        <v>155</v>
      </c>
      <c r="EY81" s="113" t="s">
        <v>197</v>
      </c>
      <c r="EZ81" s="113"/>
      <c r="FA81" s="122"/>
    </row>
    <row r="82" spans="1:157" s="4" customFormat="1" ht="15.75" hidden="1" thickBot="1" x14ac:dyDescent="0.3">
      <c r="D82" s="101"/>
      <c r="U82" s="319" t="s">
        <v>310</v>
      </c>
      <c r="V82" s="320"/>
      <c r="W82" s="320"/>
      <c r="X82" s="321"/>
      <c r="Y82" s="319" t="s">
        <v>310</v>
      </c>
      <c r="Z82" s="320"/>
      <c r="AA82" s="320"/>
      <c r="AB82" s="320"/>
      <c r="AC82" s="320"/>
      <c r="AD82" s="320"/>
      <c r="AE82" s="320"/>
      <c r="AF82" s="321"/>
      <c r="AG82" s="319" t="s">
        <v>310</v>
      </c>
      <c r="AH82" s="320"/>
      <c r="AI82" s="320"/>
      <c r="AJ82" s="321"/>
      <c r="AK82" s="319" t="s">
        <v>310</v>
      </c>
      <c r="AL82" s="320"/>
      <c r="AM82" s="320"/>
      <c r="AN82" s="320"/>
      <c r="AO82" s="320"/>
      <c r="AP82" s="320"/>
      <c r="AQ82" s="320"/>
      <c r="AR82" s="321"/>
      <c r="AS82" s="319" t="s">
        <v>310</v>
      </c>
      <c r="AT82" s="320"/>
      <c r="AU82" s="320"/>
      <c r="AV82" s="321"/>
      <c r="AW82" s="319" t="s">
        <v>310</v>
      </c>
      <c r="AX82" s="320"/>
      <c r="AY82" s="320"/>
      <c r="AZ82" s="321"/>
      <c r="BA82" s="352" t="s">
        <v>310</v>
      </c>
      <c r="BB82" s="353"/>
      <c r="BC82" s="319" t="s">
        <v>310</v>
      </c>
      <c r="BD82" s="320"/>
      <c r="BE82" s="320"/>
      <c r="BF82" s="321"/>
      <c r="BG82" s="319" t="s">
        <v>310</v>
      </c>
      <c r="BH82" s="320"/>
      <c r="BI82" s="320"/>
      <c r="BJ82" s="321"/>
      <c r="BK82" s="319" t="s">
        <v>310</v>
      </c>
      <c r="BL82" s="320"/>
      <c r="BM82" s="320"/>
      <c r="BN82" s="321"/>
      <c r="BO82" s="352" t="s">
        <v>310</v>
      </c>
      <c r="BP82" s="353"/>
      <c r="BV82" s="241">
        <v>2</v>
      </c>
      <c r="BW82" s="242"/>
      <c r="BX82" s="241">
        <f ca="1">IF(E19=BA116,AG56,AI56)</f>
        <v>1</v>
      </c>
      <c r="BY82" s="242"/>
      <c r="BZ82" s="260" t="s">
        <v>303</v>
      </c>
      <c r="CA82" s="260"/>
      <c r="CB82" s="260"/>
      <c r="CC82" s="260"/>
      <c r="CD82" s="260"/>
      <c r="CE82" s="260"/>
      <c r="CF82" s="261"/>
      <c r="CH82" s="272">
        <f ca="1">CH77/CH81*100</f>
        <v>224.00000000000003</v>
      </c>
      <c r="CI82" s="269"/>
      <c r="CJ82" s="272">
        <f ca="1">CJ77/CJ81*100</f>
        <v>208</v>
      </c>
      <c r="CK82" s="269"/>
      <c r="CL82" s="275" t="s">
        <v>212</v>
      </c>
      <c r="CM82" s="276"/>
      <c r="CN82" s="276"/>
      <c r="CO82" s="276"/>
      <c r="CP82" s="276"/>
      <c r="CQ82" s="276"/>
      <c r="CR82" s="276"/>
      <c r="ES82" s="160" t="str">
        <f>""</f>
        <v/>
      </c>
      <c r="ET82" s="238"/>
      <c r="EU82" s="238"/>
      <c r="EV82" s="238"/>
      <c r="EW82" s="133" t="str">
        <f ca="1"/>
        <v>curtain in cm***=</v>
      </c>
      <c r="EX82" s="114" t="s">
        <v>156</v>
      </c>
      <c r="EY82" s="116" t="s">
        <v>239</v>
      </c>
      <c r="EZ82" s="116"/>
      <c r="FA82" s="121"/>
    </row>
    <row r="83" spans="1:157" s="4" customFormat="1" ht="15" hidden="1" customHeight="1" thickBot="1" x14ac:dyDescent="0.3">
      <c r="D83" s="142"/>
      <c r="U83" s="316" t="s">
        <v>311</v>
      </c>
      <c r="V83" s="317"/>
      <c r="W83" s="317"/>
      <c r="X83" s="318"/>
      <c r="Y83" s="316" t="s">
        <v>311</v>
      </c>
      <c r="Z83" s="317"/>
      <c r="AA83" s="317"/>
      <c r="AB83" s="317"/>
      <c r="AC83" s="317"/>
      <c r="AD83" s="317"/>
      <c r="AE83" s="317"/>
      <c r="AF83" s="318"/>
      <c r="AG83" s="316" t="s">
        <v>311</v>
      </c>
      <c r="AH83" s="317"/>
      <c r="AI83" s="317"/>
      <c r="AJ83" s="318"/>
      <c r="AK83" s="316" t="s">
        <v>311</v>
      </c>
      <c r="AL83" s="317"/>
      <c r="AM83" s="317"/>
      <c r="AN83" s="317"/>
      <c r="AO83" s="317"/>
      <c r="AP83" s="317"/>
      <c r="AQ83" s="317"/>
      <c r="AR83" s="318"/>
      <c r="AS83" s="316" t="s">
        <v>311</v>
      </c>
      <c r="AT83" s="317"/>
      <c r="AU83" s="317"/>
      <c r="AV83" s="318"/>
      <c r="AW83" s="316" t="s">
        <v>311</v>
      </c>
      <c r="AX83" s="317"/>
      <c r="AY83" s="317"/>
      <c r="AZ83" s="318"/>
      <c r="BA83" s="316"/>
      <c r="BB83" s="318"/>
      <c r="BC83" s="316" t="s">
        <v>311</v>
      </c>
      <c r="BD83" s="317"/>
      <c r="BE83" s="317"/>
      <c r="BF83" s="318"/>
      <c r="BG83" s="316" t="s">
        <v>311</v>
      </c>
      <c r="BH83" s="317"/>
      <c r="BI83" s="317"/>
      <c r="BJ83" s="318"/>
      <c r="BK83" s="316" t="s">
        <v>311</v>
      </c>
      <c r="BL83" s="317"/>
      <c r="BM83" s="317"/>
      <c r="BN83" s="318"/>
      <c r="BO83" s="212"/>
      <c r="BP83" s="212"/>
      <c r="CH83" s="270"/>
      <c r="CI83" s="271"/>
      <c r="CJ83" s="270"/>
      <c r="CK83" s="271"/>
      <c r="CL83" s="275"/>
      <c r="CM83" s="276"/>
      <c r="CN83" s="276"/>
      <c r="CO83" s="276"/>
      <c r="CP83" s="276"/>
      <c r="CQ83" s="276"/>
      <c r="CR83" s="276"/>
      <c r="ES83" s="160" t="str">
        <f>""</f>
        <v/>
      </c>
      <c r="ET83" s="238"/>
      <c r="EU83" s="238"/>
      <c r="EV83" s="238"/>
      <c r="EW83" s="134" t="str">
        <f ca="1"/>
        <v>Distance between</v>
      </c>
      <c r="EX83" s="111" t="s">
        <v>19</v>
      </c>
      <c r="EY83" s="113" t="s">
        <v>198</v>
      </c>
      <c r="EZ83" s="113"/>
      <c r="FA83" s="122"/>
    </row>
    <row r="84" spans="1:157" s="4" customFormat="1" ht="15" hidden="1" customHeight="1" thickBot="1" x14ac:dyDescent="0.3">
      <c r="D84" s="142"/>
      <c r="U84" s="328" t="s">
        <v>312</v>
      </c>
      <c r="V84" s="329"/>
      <c r="W84" s="329"/>
      <c r="X84" s="330"/>
      <c r="Y84" s="328" t="s">
        <v>312</v>
      </c>
      <c r="Z84" s="329"/>
      <c r="AA84" s="329"/>
      <c r="AB84" s="329"/>
      <c r="AC84" s="329"/>
      <c r="AD84" s="329"/>
      <c r="AE84" s="329"/>
      <c r="AF84" s="330"/>
      <c r="AG84" s="328" t="s">
        <v>312</v>
      </c>
      <c r="AH84" s="329"/>
      <c r="AI84" s="329"/>
      <c r="AJ84" s="330"/>
      <c r="AK84" s="207"/>
      <c r="AL84" s="207"/>
      <c r="AM84" s="207"/>
      <c r="AN84" s="207"/>
      <c r="AO84" s="209"/>
      <c r="AP84" s="207"/>
      <c r="AQ84" s="209"/>
      <c r="AR84" s="207"/>
      <c r="AS84" s="328" t="s">
        <v>314</v>
      </c>
      <c r="AT84" s="329"/>
      <c r="AU84" s="329"/>
      <c r="AV84" s="330"/>
      <c r="AW84" s="328" t="s">
        <v>314</v>
      </c>
      <c r="AX84" s="329"/>
      <c r="AY84" s="329"/>
      <c r="AZ84" s="330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328" t="s">
        <v>314</v>
      </c>
      <c r="BL84" s="329"/>
      <c r="BM84" s="329"/>
      <c r="BN84" s="330"/>
      <c r="BO84" s="209"/>
      <c r="BP84" s="209"/>
      <c r="BV84" s="256" t="s">
        <v>75</v>
      </c>
      <c r="BW84" s="257"/>
      <c r="BX84" s="258">
        <f ca="1">IF(N56=1,BX86,BX85)</f>
        <v>0</v>
      </c>
      <c r="BY84" s="259"/>
      <c r="BZ84" s="254" t="s">
        <v>40</v>
      </c>
      <c r="CA84" s="254"/>
      <c r="CB84" s="254"/>
      <c r="CC84" s="254"/>
      <c r="CD84" s="254"/>
      <c r="CE84" s="254"/>
      <c r="CF84" s="255"/>
      <c r="ES84" s="160" t="str">
        <f>""</f>
        <v/>
      </c>
      <c r="ET84" s="238"/>
      <c r="EU84" s="238"/>
      <c r="EV84" s="238"/>
      <c r="EW84" s="132" t="str">
        <f ca="1"/>
        <v xml:space="preserve"> hooks in cm*    = </v>
      </c>
      <c r="EX84" s="7" t="s">
        <v>20</v>
      </c>
      <c r="EY84" s="129" t="s">
        <v>238</v>
      </c>
      <c r="EZ84" s="129"/>
      <c r="FA84" s="8"/>
    </row>
    <row r="85" spans="1:157" s="4" customFormat="1" ht="15.75" hidden="1" thickTop="1" x14ac:dyDescent="0.25">
      <c r="D85" s="142"/>
      <c r="U85" s="209"/>
      <c r="V85" s="209"/>
      <c r="W85" s="209"/>
      <c r="X85" s="209"/>
      <c r="Y85" s="468" t="s">
        <v>313</v>
      </c>
      <c r="Z85" s="469"/>
      <c r="AA85" s="469"/>
      <c r="AB85" s="469"/>
      <c r="AC85" s="469"/>
      <c r="AD85" s="469"/>
      <c r="AE85" s="469"/>
      <c r="AF85" s="470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T85" t="s">
        <v>141</v>
      </c>
      <c r="AU85" s="29"/>
      <c r="AV85" s="29"/>
      <c r="AW85" s="29"/>
      <c r="AX85" t="s">
        <v>141</v>
      </c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V85" s="288">
        <v>0</v>
      </c>
      <c r="BW85" s="289"/>
      <c r="BX85" s="252">
        <f ca="1">AK56</f>
        <v>2</v>
      </c>
      <c r="BY85" s="251"/>
      <c r="BZ85" s="264" t="s">
        <v>302</v>
      </c>
      <c r="CA85" s="264"/>
      <c r="CB85" s="264"/>
      <c r="CC85" s="264"/>
      <c r="CD85" s="264"/>
      <c r="CE85" s="264"/>
      <c r="CF85" s="265"/>
      <c r="CH85" s="266">
        <f>BX63</f>
        <v>1.05</v>
      </c>
      <c r="CI85" s="267"/>
      <c r="CJ85" s="266" t="s">
        <v>323</v>
      </c>
      <c r="CK85" s="267"/>
      <c r="CL85" s="273" t="s">
        <v>32</v>
      </c>
      <c r="CM85" s="274"/>
      <c r="CN85" s="274"/>
      <c r="CO85" s="274"/>
      <c r="CP85" s="274"/>
      <c r="CQ85"/>
      <c r="CR85"/>
      <c r="ES85" s="160" t="str">
        <f>""</f>
        <v/>
      </c>
      <c r="ET85" s="506"/>
      <c r="EU85" s="506"/>
      <c r="EV85" s="506"/>
      <c r="EW85" s="133" t="str">
        <f ca="1"/>
        <v xml:space="preserve"> hooks in pockets* = </v>
      </c>
      <c r="EX85" s="114" t="s">
        <v>273</v>
      </c>
      <c r="EY85" s="116" t="s">
        <v>274</v>
      </c>
      <c r="EZ85" s="116"/>
      <c r="FA85" s="121"/>
    </row>
    <row r="86" spans="1:157" s="4" customFormat="1" ht="15" hidden="1" customHeight="1" thickBot="1" x14ac:dyDescent="0.3">
      <c r="D86" s="142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T86" s="4" t="s">
        <v>142</v>
      </c>
      <c r="AX86" s="4" t="s">
        <v>142</v>
      </c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09"/>
      <c r="BN86" s="209"/>
      <c r="BO86" s="209"/>
      <c r="BP86" s="209"/>
      <c r="BV86" s="241">
        <v>1</v>
      </c>
      <c r="BW86" s="242"/>
      <c r="BX86" s="241">
        <f ca="1">IF(E21=BA123,IF(E19=BA116,AK56,AM56),IF(E19=BA116,AO56,AQ56))</f>
        <v>0</v>
      </c>
      <c r="BY86" s="242"/>
      <c r="BZ86" s="243" t="s">
        <v>315</v>
      </c>
      <c r="CA86" s="243"/>
      <c r="CB86" s="243"/>
      <c r="CC86" s="243"/>
      <c r="CD86" s="243"/>
      <c r="CE86" s="243"/>
      <c r="CF86" s="244"/>
      <c r="CH86" s="245">
        <f ca="1">BX102</f>
        <v>1</v>
      </c>
      <c r="CI86" s="246"/>
      <c r="CJ86" s="245" t="s">
        <v>323</v>
      </c>
      <c r="CK86" s="247"/>
      <c r="CL86" s="273" t="s">
        <v>79</v>
      </c>
      <c r="CM86" s="274"/>
      <c r="CN86" s="274"/>
      <c r="CO86" s="274"/>
      <c r="CP86" s="274"/>
      <c r="ES86" s="160" t="str">
        <f>""</f>
        <v/>
      </c>
      <c r="ET86" s="253" t="s">
        <v>183</v>
      </c>
      <c r="EU86" s="253"/>
      <c r="EV86" s="253"/>
      <c r="EW86" s="134" t="str">
        <f ca="1"/>
        <v>Can't be empty</v>
      </c>
      <c r="EX86" s="111" t="s">
        <v>157</v>
      </c>
      <c r="EY86" s="128" t="s">
        <v>199</v>
      </c>
      <c r="EZ86" s="128"/>
      <c r="FA86" s="112"/>
    </row>
    <row r="87" spans="1:157" s="4" customFormat="1" ht="15" hidden="1" customHeight="1" thickBot="1" x14ac:dyDescent="0.3">
      <c r="AX87"/>
      <c r="CH87" s="245">
        <f ca="1">BX106</f>
        <v>2.9</v>
      </c>
      <c r="CI87" s="246"/>
      <c r="CJ87" s="245" t="s">
        <v>323</v>
      </c>
      <c r="CK87" s="247"/>
      <c r="CL87" s="273" t="s">
        <v>17</v>
      </c>
      <c r="CM87" s="274"/>
      <c r="CN87" s="274"/>
      <c r="CO87" s="274"/>
      <c r="CP87" s="274"/>
      <c r="ES87" s="160" t="str">
        <f>""</f>
        <v/>
      </c>
      <c r="ET87" s="238"/>
      <c r="EU87" s="238"/>
      <c r="EV87" s="238"/>
      <c r="EW87" s="132" t="str">
        <f ca="1"/>
        <v>Value is too high</v>
      </c>
      <c r="EX87" s="7" t="s">
        <v>158</v>
      </c>
      <c r="EY87" s="129" t="s">
        <v>200</v>
      </c>
      <c r="EZ87" s="129"/>
      <c r="FA87" s="8"/>
    </row>
    <row r="88" spans="1:157" s="4" customFormat="1" ht="15" hidden="1" customHeight="1" thickBot="1" x14ac:dyDescent="0.3">
      <c r="J88" s="11"/>
      <c r="BV88" s="256" t="s">
        <v>76</v>
      </c>
      <c r="BW88" s="257"/>
      <c r="BX88" s="258">
        <f ca="1">IF(O56=1,BX90,IF(O56=2,BX91,BX89))</f>
        <v>0</v>
      </c>
      <c r="BY88" s="259"/>
      <c r="BZ88" s="254" t="s">
        <v>343</v>
      </c>
      <c r="CA88" s="254"/>
      <c r="CB88" s="254"/>
      <c r="CC88" s="254"/>
      <c r="CD88" s="254"/>
      <c r="CE88" s="254"/>
      <c r="CF88" s="255"/>
      <c r="CH88" s="245">
        <f ca="1">BA56+BO56</f>
        <v>8</v>
      </c>
      <c r="CI88" s="246"/>
      <c r="CJ88" s="245" t="s">
        <v>323</v>
      </c>
      <c r="CK88" s="247"/>
      <c r="CL88" s="208" t="s">
        <v>327</v>
      </c>
      <c r="CM88" s="208"/>
      <c r="CN88" s="208"/>
      <c r="CO88" s="208"/>
      <c r="CP88" s="208"/>
      <c r="ES88" s="160" t="str">
        <f>""</f>
        <v/>
      </c>
      <c r="ET88" s="238"/>
      <c r="EU88" s="238"/>
      <c r="EV88" s="238"/>
      <c r="EW88" s="132" t="str">
        <f ca="1"/>
        <v>Value is too low</v>
      </c>
      <c r="EX88" s="7" t="s">
        <v>159</v>
      </c>
      <c r="EY88" s="129" t="s">
        <v>201</v>
      </c>
      <c r="EZ88" s="129"/>
      <c r="FA88" s="8"/>
    </row>
    <row r="89" spans="1:157" s="4" customFormat="1" ht="15" hidden="1" customHeight="1" thickTop="1" thickBot="1" x14ac:dyDescent="0.3">
      <c r="BV89" s="288">
        <v>0</v>
      </c>
      <c r="BW89" s="289"/>
      <c r="BX89" s="252">
        <f ca="1">AS56</f>
        <v>1</v>
      </c>
      <c r="BY89" s="251"/>
      <c r="BZ89" s="264" t="s">
        <v>302</v>
      </c>
      <c r="CA89" s="264"/>
      <c r="CB89" s="264"/>
      <c r="CC89" s="264"/>
      <c r="CD89" s="264"/>
      <c r="CE89" s="264"/>
      <c r="CF89" s="265"/>
      <c r="CH89" s="245">
        <f ca="1">(CH72-CH86)*CH85</f>
        <v>12.600000000000001</v>
      </c>
      <c r="CI89" s="246"/>
      <c r="CJ89" s="248" t="s">
        <v>323</v>
      </c>
      <c r="CK89" s="249"/>
      <c r="CL89" s="208" t="s">
        <v>328</v>
      </c>
      <c r="CM89" s="208"/>
      <c r="CN89" s="208"/>
      <c r="CO89" s="208"/>
      <c r="CP89" s="208"/>
      <c r="ES89" s="160" t="str">
        <f>""</f>
        <v/>
      </c>
      <c r="ET89" s="238"/>
      <c r="EU89" s="238"/>
      <c r="EV89" s="238"/>
      <c r="EW89" s="132" t="str">
        <f ca="1"/>
        <v>Can't be text</v>
      </c>
      <c r="EX89" s="7" t="s">
        <v>366</v>
      </c>
      <c r="EY89" s="129" t="s">
        <v>202</v>
      </c>
      <c r="EZ89" s="129"/>
      <c r="FA89" s="8"/>
    </row>
    <row r="90" spans="1:157" s="4" customFormat="1" ht="15" hidden="1" customHeight="1" x14ac:dyDescent="0.25">
      <c r="E90" s="11"/>
      <c r="BV90" s="252">
        <v>1</v>
      </c>
      <c r="BW90" s="251"/>
      <c r="BX90" s="252">
        <f ca="1">IF($E$21=$BA$123,AS56,AU56)</f>
        <v>0</v>
      </c>
      <c r="BY90" s="251"/>
      <c r="BZ90" s="262" t="s">
        <v>304</v>
      </c>
      <c r="CA90" s="262"/>
      <c r="CB90" s="262"/>
      <c r="CC90" s="262"/>
      <c r="CD90" s="262"/>
      <c r="CE90" s="262"/>
      <c r="CF90" s="263"/>
      <c r="CH90" s="268">
        <f ca="1">ROUNDUP(CH87+CH88+CH89,0)</f>
        <v>24</v>
      </c>
      <c r="CI90" s="269"/>
      <c r="CJ90" s="272">
        <f ca="1">CH90</f>
        <v>24</v>
      </c>
      <c r="CK90" s="269"/>
      <c r="CL90" s="275" t="s">
        <v>322</v>
      </c>
      <c r="CM90" s="276"/>
      <c r="CN90" s="276"/>
      <c r="CO90" s="276"/>
      <c r="CP90" s="276"/>
      <c r="CQ90" s="98"/>
      <c r="CR90" s="98"/>
      <c r="ES90" s="160" t="str">
        <f>""</f>
        <v/>
      </c>
      <c r="ET90" s="238"/>
      <c r="EU90" s="238"/>
      <c r="EV90" s="238"/>
      <c r="EW90" s="132" t="str">
        <f ca="1"/>
        <v>Option not possible</v>
      </c>
      <c r="EX90" s="7" t="s">
        <v>160</v>
      </c>
      <c r="EY90" s="129" t="s">
        <v>203</v>
      </c>
      <c r="EZ90" s="129"/>
      <c r="FA90" s="8"/>
    </row>
    <row r="91" spans="1:157" s="4" customFormat="1" ht="15" hidden="1" customHeight="1" thickBot="1" x14ac:dyDescent="0.3">
      <c r="BV91" s="241">
        <v>2</v>
      </c>
      <c r="BW91" s="242"/>
      <c r="BX91" s="241">
        <f ca="1">IF($E$19=$BA$116,AS56,AU56)</f>
        <v>0</v>
      </c>
      <c r="BY91" s="242"/>
      <c r="BZ91" s="260" t="s">
        <v>303</v>
      </c>
      <c r="CA91" s="260"/>
      <c r="CB91" s="260"/>
      <c r="CC91" s="260"/>
      <c r="CD91" s="260"/>
      <c r="CE91" s="260"/>
      <c r="CF91" s="261"/>
      <c r="CH91" s="270"/>
      <c r="CI91" s="271"/>
      <c r="CJ91" s="270"/>
      <c r="CK91" s="271"/>
      <c r="CL91" s="275"/>
      <c r="CM91" s="276"/>
      <c r="CN91" s="276"/>
      <c r="CO91" s="276"/>
      <c r="CP91" s="276"/>
      <c r="CQ91" s="98"/>
      <c r="CR91" s="98"/>
      <c r="ES91" s="160" t="str">
        <f>""</f>
        <v/>
      </c>
      <c r="ET91" s="238"/>
      <c r="EU91" s="238"/>
      <c r="EV91" s="238"/>
      <c r="EW91" s="132" t="str">
        <f ca="1"/>
        <v>Does not exist</v>
      </c>
      <c r="EX91" s="7" t="s">
        <v>161</v>
      </c>
      <c r="EY91" s="129" t="s">
        <v>204</v>
      </c>
      <c r="EZ91" s="129"/>
      <c r="FA91" s="8"/>
    </row>
    <row r="92" spans="1:157" s="4" customFormat="1" ht="15" hidden="1" customHeight="1" thickBot="1" x14ac:dyDescent="0.3">
      <c r="BQ92" s="1"/>
      <c r="ES92" s="160" t="str">
        <f>""</f>
        <v/>
      </c>
      <c r="ET92" s="238"/>
      <c r="EU92" s="238"/>
      <c r="EV92" s="238"/>
      <c r="EW92" s="133" t="str">
        <f ca="1"/>
        <v>Wrong language</v>
      </c>
      <c r="EX92" s="114" t="s">
        <v>226</v>
      </c>
      <c r="EY92" s="144" t="s">
        <v>227</v>
      </c>
      <c r="EZ92" s="144"/>
      <c r="FA92" s="115"/>
    </row>
    <row r="93" spans="1:157" s="4" customFormat="1" ht="15" hidden="1" customHeight="1" thickBot="1" x14ac:dyDescent="0.3">
      <c r="BQ93" s="214"/>
      <c r="BS93" s="1"/>
      <c r="BV93" s="256" t="s">
        <v>77</v>
      </c>
      <c r="BW93" s="257"/>
      <c r="BX93" s="258">
        <f ca="1">IF(P56=1,BX95,IF(P56=2,BX96,BX94))</f>
        <v>0</v>
      </c>
      <c r="BY93" s="259"/>
      <c r="BZ93" s="254" t="s">
        <v>344</v>
      </c>
      <c r="CA93" s="254"/>
      <c r="CB93" s="254"/>
      <c r="CC93" s="254"/>
      <c r="CD93" s="254"/>
      <c r="CE93" s="254"/>
      <c r="CF93" s="255"/>
      <c r="ES93" s="160" t="str">
        <f>""</f>
        <v/>
      </c>
      <c r="ET93" s="238" t="s">
        <v>184</v>
      </c>
      <c r="EU93" s="238"/>
      <c r="EV93" s="238"/>
      <c r="EW93" s="134" t="str">
        <f ca="1"/>
        <v>Number of hooks</v>
      </c>
      <c r="EX93" s="111" t="s">
        <v>162</v>
      </c>
      <c r="EY93" s="113" t="s">
        <v>205</v>
      </c>
      <c r="EZ93" s="113"/>
      <c r="FA93" s="122"/>
    </row>
    <row r="94" spans="1:157" s="4" customFormat="1" ht="15" hidden="1" customHeight="1" thickTop="1" x14ac:dyDescent="0.25">
      <c r="BR94" s="1"/>
      <c r="BS94" s="1"/>
      <c r="BV94" s="288">
        <v>0</v>
      </c>
      <c r="BW94" s="289"/>
      <c r="BX94" s="252">
        <f ca="1">AW56</f>
        <v>1</v>
      </c>
      <c r="BY94" s="251"/>
      <c r="BZ94" s="264" t="s">
        <v>302</v>
      </c>
      <c r="CA94" s="264"/>
      <c r="CB94" s="264"/>
      <c r="CC94" s="264"/>
      <c r="CD94" s="264"/>
      <c r="CE94" s="264"/>
      <c r="CF94" s="265"/>
      <c r="ES94" s="160" t="str">
        <f>""</f>
        <v/>
      </c>
      <c r="ET94" s="238"/>
      <c r="EU94" s="238"/>
      <c r="EV94" s="238"/>
      <c r="EW94" s="133" t="str">
        <f ca="1"/>
        <v xml:space="preserve"> in curtain needed</v>
      </c>
      <c r="EX94" s="114" t="s">
        <v>163</v>
      </c>
      <c r="EY94" s="116" t="s">
        <v>206</v>
      </c>
      <c r="EZ94" s="116"/>
      <c r="FA94" s="121"/>
    </row>
    <row r="95" spans="1:157" s="4" customFormat="1" ht="15" hidden="1" customHeight="1" x14ac:dyDescent="0.25">
      <c r="BQ95" s="1"/>
      <c r="BR95" s="1"/>
      <c r="BV95" s="252">
        <v>1</v>
      </c>
      <c r="BW95" s="251"/>
      <c r="BX95" s="252">
        <f ca="1">IF($E$21=$BA$123,AW56,AY56)</f>
        <v>0</v>
      </c>
      <c r="BY95" s="251"/>
      <c r="BZ95" s="262" t="s">
        <v>304</v>
      </c>
      <c r="CA95" s="262"/>
      <c r="CB95" s="262"/>
      <c r="CC95" s="262"/>
      <c r="CD95" s="262"/>
      <c r="CE95" s="262"/>
      <c r="CF95" s="263"/>
      <c r="ES95" s="160" t="str">
        <f>""</f>
        <v/>
      </c>
      <c r="ET95" s="238"/>
      <c r="EU95" s="238"/>
      <c r="EV95" s="238"/>
      <c r="EW95" s="134" t="str">
        <f ca="1"/>
        <v>Number of</v>
      </c>
      <c r="EX95" s="111" t="s">
        <v>164</v>
      </c>
      <c r="EY95" s="113" t="s">
        <v>207</v>
      </c>
      <c r="EZ95" s="113"/>
      <c r="FA95" s="122"/>
    </row>
    <row r="96" spans="1:157" s="4" customFormat="1" ht="15" hidden="1" customHeight="1" thickBot="1" x14ac:dyDescent="0.3">
      <c r="BQ96" s="1"/>
      <c r="BS96" s="1"/>
      <c r="BT96" s="1"/>
      <c r="BU96" s="1"/>
      <c r="BV96" s="241">
        <v>2</v>
      </c>
      <c r="BW96" s="242"/>
      <c r="BX96" s="241">
        <f ca="1">IF($E$19=$BA$116,AW56,AY56)</f>
        <v>0</v>
      </c>
      <c r="BY96" s="242"/>
      <c r="BZ96" s="260" t="s">
        <v>303</v>
      </c>
      <c r="CA96" s="260"/>
      <c r="CB96" s="260"/>
      <c r="CC96" s="260"/>
      <c r="CD96" s="260"/>
      <c r="CE96" s="260"/>
      <c r="CF96" s="261"/>
      <c r="ES96" s="160" t="str">
        <f>""</f>
        <v/>
      </c>
      <c r="ET96" s="238"/>
      <c r="EU96" s="238"/>
      <c r="EV96" s="238"/>
      <c r="EW96" s="133" t="str">
        <f ca="1"/>
        <v>carriers needed**</v>
      </c>
      <c r="EX96" s="114" t="s">
        <v>165</v>
      </c>
      <c r="EY96" s="116" t="s">
        <v>208</v>
      </c>
      <c r="EZ96" s="116"/>
      <c r="FA96" s="121"/>
    </row>
    <row r="97" spans="1:171" s="4" customFormat="1" ht="15" hidden="1" customHeight="1" thickBot="1" x14ac:dyDescent="0.3">
      <c r="BQ97" s="1"/>
      <c r="BR97" s="1"/>
      <c r="BS97" s="1"/>
      <c r="BT97" s="1"/>
      <c r="BU97" s="1"/>
      <c r="ES97" s="160" t="str">
        <f>""</f>
        <v/>
      </c>
      <c r="ET97" s="238"/>
      <c r="EU97" s="238"/>
      <c r="EV97" s="238"/>
      <c r="EW97" s="134" t="str">
        <f ca="1"/>
        <v>Curtain stacking</v>
      </c>
      <c r="EX97" s="111" t="s">
        <v>166</v>
      </c>
      <c r="EY97" s="113" t="s">
        <v>211</v>
      </c>
      <c r="EZ97" s="113"/>
      <c r="FA97" s="122"/>
    </row>
    <row r="98" spans="1:171" s="4" customFormat="1" ht="15" hidden="1" customHeight="1" thickBot="1" x14ac:dyDescent="0.3">
      <c r="BQ98" s="1"/>
      <c r="BR98" s="1"/>
      <c r="BS98" s="1"/>
      <c r="BT98" s="1"/>
      <c r="BU98" s="1"/>
      <c r="BV98" s="256" t="s">
        <v>1</v>
      </c>
      <c r="BW98" s="257"/>
      <c r="BX98" s="258">
        <f ca="1">IF(Q56=1,BX100,BX99)</f>
        <v>4</v>
      </c>
      <c r="BY98" s="259"/>
      <c r="BZ98" s="254" t="s">
        <v>87</v>
      </c>
      <c r="CA98" s="254"/>
      <c r="CB98" s="254"/>
      <c r="CC98" s="254"/>
      <c r="CD98" s="254"/>
      <c r="CE98" s="254"/>
      <c r="CF98" s="255"/>
      <c r="ES98" s="160" t="str">
        <f>""</f>
        <v/>
      </c>
      <c r="ET98" s="238"/>
      <c r="EU98" s="238"/>
      <c r="EV98" s="238"/>
      <c r="EW98" s="132" t="str">
        <f ca="1"/>
        <v>in open position</v>
      </c>
      <c r="EX98" s="7" t="s">
        <v>167</v>
      </c>
      <c r="EY98" s="13" t="s">
        <v>209</v>
      </c>
      <c r="EZ98" s="13"/>
      <c r="FA98" s="20"/>
    </row>
    <row r="99" spans="1:171" s="4" customFormat="1" ht="15" hidden="1" customHeight="1" thickTop="1" x14ac:dyDescent="0.25">
      <c r="BF99" s="1"/>
      <c r="BG99" s="1"/>
      <c r="BH99" s="1"/>
      <c r="BI99" s="1"/>
      <c r="BK99" s="215"/>
      <c r="BL99" s="1"/>
      <c r="BM99" s="1"/>
      <c r="BN99" s="1"/>
      <c r="BO99" s="1"/>
      <c r="BP99" s="1"/>
      <c r="BQ99" s="1"/>
      <c r="BR99" s="1"/>
      <c r="BV99" s="288">
        <v>0</v>
      </c>
      <c r="BW99" s="289"/>
      <c r="BX99" s="252">
        <f ca="1">BC56</f>
        <v>4</v>
      </c>
      <c r="BY99" s="251"/>
      <c r="BZ99" s="264" t="s">
        <v>302</v>
      </c>
      <c r="CA99" s="264"/>
      <c r="CB99" s="264"/>
      <c r="CC99" s="264"/>
      <c r="CD99" s="264"/>
      <c r="CE99" s="264"/>
      <c r="CF99" s="265"/>
      <c r="ES99" s="160" t="str">
        <f>""</f>
        <v/>
      </c>
      <c r="ET99" s="238"/>
      <c r="EU99" s="238"/>
      <c r="EV99" s="238"/>
      <c r="EW99" s="133" t="str">
        <f ca="1"/>
        <v>(minimal)</v>
      </c>
      <c r="EX99" s="114" t="s">
        <v>168</v>
      </c>
      <c r="EY99" s="116" t="s">
        <v>210</v>
      </c>
      <c r="EZ99" s="116"/>
      <c r="FA99" s="121"/>
    </row>
    <row r="100" spans="1:171" s="4" customFormat="1" ht="15.75" hidden="1" thickBot="1" x14ac:dyDescent="0.3">
      <c r="BF100" s="1"/>
      <c r="BG100" s="1"/>
      <c r="BH100" s="1"/>
      <c r="BI100" s="1"/>
      <c r="BK100" s="215"/>
      <c r="BL100" s="1"/>
      <c r="BM100" s="1"/>
      <c r="BN100" s="1"/>
      <c r="BO100" s="1"/>
      <c r="BP100" s="1"/>
      <c r="BQ100" s="1"/>
      <c r="BS100" s="1"/>
      <c r="BT100" s="1"/>
      <c r="BU100" s="1"/>
      <c r="BV100" s="241">
        <v>1</v>
      </c>
      <c r="BW100" s="242"/>
      <c r="BX100" s="241">
        <f ca="1">IF($E$19=$BA$116,BC56,BE56)</f>
        <v>0</v>
      </c>
      <c r="BY100" s="242"/>
      <c r="BZ100" s="243" t="s">
        <v>303</v>
      </c>
      <c r="CA100" s="243"/>
      <c r="CB100" s="243"/>
      <c r="CC100" s="243"/>
      <c r="CD100" s="243"/>
      <c r="CE100" s="243"/>
      <c r="CF100" s="244"/>
      <c r="ES100" s="160" t="str">
        <f>""</f>
        <v/>
      </c>
      <c r="ET100" s="238"/>
      <c r="EU100" s="238"/>
      <c r="EV100" s="238"/>
      <c r="EW100" s="134" t="str">
        <f ca="1"/>
        <v>Total tape length</v>
      </c>
      <c r="EX100" s="111" t="s">
        <v>169</v>
      </c>
      <c r="EY100" s="113" t="s">
        <v>244</v>
      </c>
      <c r="EZ100" s="113"/>
      <c r="FA100" s="122"/>
    </row>
    <row r="101" spans="1:171" s="4" customFormat="1" ht="15.75" hidden="1" thickBot="1" x14ac:dyDescent="0.3">
      <c r="BF101" s="1"/>
      <c r="BG101" s="1"/>
      <c r="BH101" s="1"/>
      <c r="BI101" s="1"/>
      <c r="BK101" s="1"/>
      <c r="BL101" s="1"/>
      <c r="BM101" s="1"/>
      <c r="BN101" s="1"/>
      <c r="BO101" s="1"/>
      <c r="BP101" s="1"/>
      <c r="BQ101" s="1"/>
      <c r="BR101" s="1"/>
      <c r="ES101" s="160" t="str">
        <f>""</f>
        <v/>
      </c>
      <c r="ET101" s="238"/>
      <c r="EU101" s="238"/>
      <c r="EV101" s="238"/>
      <c r="EW101" s="133" t="str">
        <f ca="1"/>
        <v>required</v>
      </c>
      <c r="EX101" s="114" t="s">
        <v>170</v>
      </c>
      <c r="EY101" s="116" t="s">
        <v>245</v>
      </c>
      <c r="EZ101" s="116"/>
      <c r="FA101" s="121"/>
    </row>
    <row r="102" spans="1:171" s="4" customFormat="1" ht="15.75" hidden="1" thickBot="1" x14ac:dyDescent="0.3">
      <c r="BF102" s="1"/>
      <c r="BG102" s="1"/>
      <c r="BH102" s="1"/>
      <c r="BI102" s="1"/>
      <c r="BK102" s="1"/>
      <c r="BL102" s="1"/>
      <c r="BM102" s="1"/>
      <c r="BN102" s="1"/>
      <c r="BO102" s="1"/>
      <c r="BP102" s="1"/>
      <c r="BQ102" s="1"/>
      <c r="BS102" s="1"/>
      <c r="BT102" s="1"/>
      <c r="BU102" s="1"/>
      <c r="BV102" s="256" t="s">
        <v>78</v>
      </c>
      <c r="BW102" s="257"/>
      <c r="BX102" s="258">
        <f ca="1">IF(R56=1,BX104,BX103)</f>
        <v>1</v>
      </c>
      <c r="BY102" s="259"/>
      <c r="BZ102" s="254" t="s">
        <v>88</v>
      </c>
      <c r="CA102" s="254"/>
      <c r="CB102" s="254"/>
      <c r="CC102" s="254"/>
      <c r="CD102" s="254"/>
      <c r="CE102" s="254"/>
      <c r="CF102" s="255"/>
      <c r="ES102" s="160" t="str">
        <f>""</f>
        <v/>
      </c>
      <c r="ET102" s="238"/>
      <c r="EU102" s="238"/>
      <c r="EV102" s="238"/>
      <c r="EW102" s="135" t="str">
        <f ca="1"/>
        <v>Curtain fullness</v>
      </c>
      <c r="EX102" s="117" t="s">
        <v>171</v>
      </c>
      <c r="EY102" s="118" t="s">
        <v>212</v>
      </c>
      <c r="EZ102" s="118"/>
      <c r="FA102" s="123"/>
    </row>
    <row r="103" spans="1:171" s="4" customFormat="1" ht="15.75" hidden="1" thickTop="1" x14ac:dyDescent="0.25">
      <c r="BR103" s="1"/>
      <c r="BS103" s="1"/>
      <c r="BT103" s="1"/>
      <c r="BU103" s="1"/>
      <c r="BV103" s="288">
        <v>0</v>
      </c>
      <c r="BW103" s="289"/>
      <c r="BX103" s="252">
        <f ca="1">BG56</f>
        <v>2</v>
      </c>
      <c r="BY103" s="251"/>
      <c r="BZ103" s="264" t="s">
        <v>302</v>
      </c>
      <c r="CA103" s="264"/>
      <c r="CB103" s="264"/>
      <c r="CC103" s="264"/>
      <c r="CD103" s="264"/>
      <c r="CE103" s="264"/>
      <c r="CF103" s="265"/>
      <c r="ES103" s="160" t="str">
        <f>""</f>
        <v/>
      </c>
      <c r="ET103" s="238"/>
      <c r="EU103" s="238"/>
      <c r="EV103" s="238"/>
      <c r="EW103" s="134" t="str">
        <f ca="1"/>
        <v xml:space="preserve">    Total depth of the curtain:</v>
      </c>
      <c r="EX103" s="111" t="s">
        <v>242</v>
      </c>
      <c r="EY103" s="113" t="s">
        <v>243</v>
      </c>
      <c r="EZ103" s="113"/>
      <c r="FA103" s="122"/>
    </row>
    <row r="104" spans="1:171" s="4" customFormat="1" ht="15.75" hidden="1" thickBot="1" x14ac:dyDescent="0.3">
      <c r="BI104" s="98"/>
      <c r="BJ104" s="98"/>
      <c r="BK104" s="98"/>
      <c r="BL104" s="98"/>
      <c r="BM104" s="1"/>
      <c r="BN104" s="1"/>
      <c r="BO104" s="1"/>
      <c r="BP104" s="1"/>
      <c r="BQ104" s="1"/>
      <c r="BR104" s="1"/>
      <c r="BV104" s="241">
        <v>1</v>
      </c>
      <c r="BW104" s="242"/>
      <c r="BX104" s="241">
        <f ca="1">IF($E$19=$BA$116,BG56,BI56)</f>
        <v>1</v>
      </c>
      <c r="BY104" s="242"/>
      <c r="BZ104" s="243" t="s">
        <v>303</v>
      </c>
      <c r="CA104" s="243"/>
      <c r="CB104" s="243"/>
      <c r="CC104" s="243"/>
      <c r="CD104" s="243"/>
      <c r="CE104" s="243"/>
      <c r="CF104" s="244"/>
      <c r="ES104" s="160" t="str">
        <f>""</f>
        <v/>
      </c>
      <c r="ET104" s="238"/>
      <c r="EU104" s="238"/>
      <c r="EV104" s="238"/>
      <c r="EW104" s="132" t="str">
        <f ca="1"/>
        <v>In closed position</v>
      </c>
      <c r="EX104" s="7" t="s">
        <v>172</v>
      </c>
      <c r="EY104" s="13" t="s">
        <v>213</v>
      </c>
      <c r="EZ104" s="13"/>
      <c r="FA104" s="20"/>
    </row>
    <row r="105" spans="1:171" s="4" customFormat="1" ht="15.75" hidden="1" thickBot="1" x14ac:dyDescent="0.3">
      <c r="BI105" s="98"/>
      <c r="BJ105" s="98"/>
      <c r="BK105" s="98"/>
      <c r="BL105" s="98"/>
      <c r="BM105" s="1"/>
      <c r="BN105" s="1"/>
      <c r="BO105" s="1"/>
      <c r="BP105" s="1"/>
      <c r="BQ105" s="1"/>
      <c r="BS105" s="1"/>
      <c r="BT105" s="1"/>
      <c r="BU105" s="1"/>
      <c r="ES105" s="160" t="str">
        <f>""</f>
        <v/>
      </c>
      <c r="ET105" s="238"/>
      <c r="EU105" s="238"/>
      <c r="EV105" s="238"/>
      <c r="EW105" s="133" t="str">
        <f ca="1"/>
        <v>With open position</v>
      </c>
      <c r="EX105" s="114" t="s">
        <v>173</v>
      </c>
      <c r="EY105" s="116" t="s">
        <v>214</v>
      </c>
      <c r="EZ105" s="116"/>
      <c r="FA105" s="121"/>
    </row>
    <row r="106" spans="1:171" s="4" customFormat="1" ht="15.75" hidden="1" thickBot="1" x14ac:dyDescent="0.3">
      <c r="H106" s="284" t="s">
        <v>110</v>
      </c>
      <c r="I106" s="284" t="s">
        <v>111</v>
      </c>
      <c r="J106" s="284" t="s">
        <v>129</v>
      </c>
      <c r="K106" s="284" t="s">
        <v>288</v>
      </c>
      <c r="BI106" s="77"/>
      <c r="BJ106" s="77"/>
      <c r="BK106" s="77"/>
      <c r="BL106" s="77"/>
      <c r="BR106" s="1"/>
      <c r="BS106" s="1"/>
      <c r="BT106" s="1"/>
      <c r="BU106" s="1"/>
      <c r="BV106" s="256" t="s">
        <v>80</v>
      </c>
      <c r="BW106" s="257"/>
      <c r="BX106" s="347">
        <f ca="1">IF(S56=1,BX108,IF(S56=2,BX109,BX107))</f>
        <v>2.9</v>
      </c>
      <c r="BY106" s="259"/>
      <c r="BZ106" s="254" t="s">
        <v>89</v>
      </c>
      <c r="CA106" s="254"/>
      <c r="CB106" s="254"/>
      <c r="CC106" s="254"/>
      <c r="CD106" s="254"/>
      <c r="CE106" s="254"/>
      <c r="CF106" s="255"/>
      <c r="ES106" s="160" t="str">
        <f>""</f>
        <v/>
      </c>
      <c r="ET106" s="238" t="s">
        <v>179</v>
      </c>
      <c r="EU106" s="238"/>
      <c r="EV106" s="238"/>
      <c r="EW106" s="134" t="str">
        <f ca="1"/>
        <v>Center closing</v>
      </c>
      <c r="EX106" s="111" t="s">
        <v>13</v>
      </c>
      <c r="EY106" s="113" t="s">
        <v>215</v>
      </c>
      <c r="EZ106" s="113"/>
      <c r="FA106" s="122"/>
    </row>
    <row r="107" spans="1:171" s="4" customFormat="1" ht="15.75" hidden="1" thickTop="1" x14ac:dyDescent="0.25">
      <c r="H107" s="284"/>
      <c r="I107" s="284"/>
      <c r="J107" s="284"/>
      <c r="K107" s="284"/>
      <c r="BI107" s="206" t="s">
        <v>291</v>
      </c>
      <c r="BJ107" s="206"/>
      <c r="BK107" s="206"/>
      <c r="BL107" s="205"/>
      <c r="BM107" s="1"/>
      <c r="BN107" s="1"/>
      <c r="BO107" s="1"/>
      <c r="BP107" s="1"/>
      <c r="BQ107" s="1"/>
      <c r="BR107" s="1"/>
      <c r="BS107" s="1"/>
      <c r="BT107" s="1"/>
      <c r="BU107" s="1"/>
      <c r="BV107" s="288">
        <v>0</v>
      </c>
      <c r="BW107" s="289"/>
      <c r="BX107" s="250">
        <f ca="1">BK56</f>
        <v>8</v>
      </c>
      <c r="BY107" s="251"/>
      <c r="BZ107" s="264" t="s">
        <v>302</v>
      </c>
      <c r="CA107" s="264"/>
      <c r="CB107" s="264"/>
      <c r="CC107" s="264"/>
      <c r="CD107" s="264"/>
      <c r="CE107" s="264"/>
      <c r="CF107" s="265"/>
      <c r="ES107" s="160" t="str">
        <f>""</f>
        <v/>
      </c>
      <c r="ET107" s="238"/>
      <c r="EU107" s="238"/>
      <c r="EV107" s="238"/>
      <c r="EW107" s="133" t="str">
        <f ca="1"/>
        <v>One-way draw</v>
      </c>
      <c r="EX107" s="114" t="s">
        <v>12</v>
      </c>
      <c r="EY107" s="116" t="s">
        <v>216</v>
      </c>
      <c r="EZ107" s="116"/>
      <c r="FA107" s="121"/>
    </row>
    <row r="108" spans="1:171" s="4" customFormat="1" hidden="1" x14ac:dyDescent="0.25">
      <c r="A108" s="11"/>
      <c r="B108" s="11"/>
      <c r="H108" s="284"/>
      <c r="I108" s="284"/>
      <c r="J108" s="284"/>
      <c r="K108" s="284"/>
      <c r="BI108" s="98" t="str" cm="1">
        <f t="array" aca="1" ref="BI108:BI129" ca="1">_xlfn._xlws.SORT(EW122:EW143)</f>
        <v>CCS</v>
      </c>
      <c r="BJ108" s="98"/>
      <c r="BK108" s="98"/>
      <c r="BL108" s="98"/>
      <c r="BM108" s="1"/>
      <c r="BN108" s="1"/>
      <c r="BO108" s="1"/>
      <c r="BP108" s="1"/>
      <c r="BQ108" s="1"/>
      <c r="BR108" s="1"/>
      <c r="BV108" s="252">
        <v>1</v>
      </c>
      <c r="BW108" s="251"/>
      <c r="BX108" s="250">
        <f ca="1">IF(E21=BA123,BK56,BM56)</f>
        <v>2.9</v>
      </c>
      <c r="BY108" s="251"/>
      <c r="BZ108" s="262" t="s">
        <v>304</v>
      </c>
      <c r="CA108" s="262"/>
      <c r="CB108" s="262"/>
      <c r="CC108" s="262"/>
      <c r="CD108" s="262"/>
      <c r="CE108" s="262"/>
      <c r="CF108" s="263"/>
      <c r="ES108" s="160" t="str">
        <f>""</f>
        <v/>
      </c>
      <c r="ET108" s="238"/>
      <c r="EU108" s="238"/>
      <c r="EV108" s="238"/>
      <c r="EW108" s="134" t="str">
        <f ca="1"/>
        <v>Steel</v>
      </c>
      <c r="EX108" s="111" t="s">
        <v>95</v>
      </c>
      <c r="EY108" s="113" t="s">
        <v>82</v>
      </c>
      <c r="EZ108" s="113"/>
      <c r="FA108" s="122"/>
    </row>
    <row r="109" spans="1:171" s="4" customFormat="1" ht="15.75" hidden="1" thickBot="1" x14ac:dyDescent="0.3">
      <c r="A109" s="11"/>
      <c r="B109" s="11"/>
      <c r="H109" s="284"/>
      <c r="I109" s="284"/>
      <c r="J109" s="284"/>
      <c r="K109" s="284"/>
      <c r="BI109" s="98" t="str">
        <f ca="1"/>
        <v>CRS 20</v>
      </c>
      <c r="BJ109" s="98"/>
      <c r="BK109" s="98"/>
      <c r="BL109" s="98"/>
      <c r="BM109" s="1"/>
      <c r="BN109" s="1"/>
      <c r="BO109" s="1"/>
      <c r="BP109" s="1"/>
      <c r="BQ109" s="1"/>
      <c r="BV109" s="241">
        <v>2</v>
      </c>
      <c r="BW109" s="242"/>
      <c r="BX109" s="351">
        <f ca="1">IF(E19=BA116,BK56,BM56)</f>
        <v>2.9</v>
      </c>
      <c r="BY109" s="242"/>
      <c r="BZ109" s="260" t="s">
        <v>303</v>
      </c>
      <c r="CA109" s="260"/>
      <c r="CB109" s="260"/>
      <c r="CC109" s="260"/>
      <c r="CD109" s="260"/>
      <c r="CE109" s="260"/>
      <c r="CF109" s="261"/>
      <c r="ES109" s="160" t="str">
        <f>""</f>
        <v/>
      </c>
      <c r="ET109" s="238"/>
      <c r="EU109" s="238"/>
      <c r="EV109" s="238"/>
      <c r="EW109" s="133" t="str">
        <f ca="1"/>
        <v>Plastic</v>
      </c>
      <c r="EX109" s="114" t="s">
        <v>96</v>
      </c>
      <c r="EY109" s="116" t="s">
        <v>83</v>
      </c>
      <c r="EZ109" s="116"/>
      <c r="FA109" s="121"/>
      <c r="FD109" s="227"/>
      <c r="FE109" s="227"/>
      <c r="FF109" s="227"/>
      <c r="FK109" s="69"/>
      <c r="FL109" s="69"/>
      <c r="FM109" s="69"/>
      <c r="FN109" s="69"/>
      <c r="FO109" s="69"/>
    </row>
    <row r="110" spans="1:171" s="4" customFormat="1" ht="15.75" hidden="1" thickBot="1" x14ac:dyDescent="0.3">
      <c r="A110" s="11"/>
      <c r="B110" s="11"/>
      <c r="C110" s="331" t="s">
        <v>144</v>
      </c>
      <c r="D110" s="332"/>
      <c r="E110" s="332"/>
      <c r="F110" s="332"/>
      <c r="G110" s="95">
        <f ca="1">IF(CN66=0,1,0)</f>
        <v>1</v>
      </c>
      <c r="H110" s="285"/>
      <c r="I110" s="285"/>
      <c r="J110" s="285"/>
      <c r="K110" s="285"/>
      <c r="U110" s="17"/>
      <c r="V110" s="403" t="s">
        <v>23</v>
      </c>
      <c r="W110" s="403"/>
      <c r="X110" s="403"/>
      <c r="Y110" s="403"/>
      <c r="Z110" s="403"/>
      <c r="AA110" s="6"/>
      <c r="AB110" s="404" t="s">
        <v>24</v>
      </c>
      <c r="AC110" s="405"/>
      <c r="BI110" s="4" t="str">
        <f ca="1"/>
        <v>CRS 28</v>
      </c>
      <c r="ES110" s="160" t="str">
        <f>""</f>
        <v/>
      </c>
      <c r="ET110" s="238" t="s">
        <v>178</v>
      </c>
      <c r="EU110" s="238"/>
      <c r="EV110" s="238"/>
      <c r="EW110" s="134" t="str">
        <f ca="1"/>
        <v>Motor side</v>
      </c>
      <c r="EX110" s="111" t="s">
        <v>26</v>
      </c>
      <c r="EY110" s="113" t="s">
        <v>217</v>
      </c>
      <c r="EZ110" s="113"/>
      <c r="FA110" s="122"/>
      <c r="FC110" s="227"/>
      <c r="FD110" s="227"/>
      <c r="FE110" s="227"/>
      <c r="FF110" s="227"/>
    </row>
    <row r="111" spans="1:171" s="4" customFormat="1" ht="15.75" hidden="1" thickBot="1" x14ac:dyDescent="0.3">
      <c r="A111" s="11"/>
      <c r="B111" s="11"/>
      <c r="C111" s="477" t="s">
        <v>109</v>
      </c>
      <c r="D111" s="478"/>
      <c r="E111" s="478"/>
      <c r="F111" s="478"/>
      <c r="G111" s="478"/>
      <c r="H111" s="65">
        <f ca="1">IF(SUM(H112:H139)&gt;0,1,0)</f>
        <v>0</v>
      </c>
      <c r="I111" s="65">
        <f>SUM(I112:I139)</f>
        <v>0</v>
      </c>
      <c r="J111" s="65">
        <f ca="1">SUM(J112:J139)</f>
        <v>3</v>
      </c>
      <c r="K111" s="65">
        <f>SUM(K112:K139)</f>
        <v>0</v>
      </c>
      <c r="L111" s="11"/>
      <c r="M111" s="11"/>
      <c r="N111" s="11"/>
      <c r="O111" s="11"/>
      <c r="P111" s="11"/>
      <c r="Q111" s="11"/>
      <c r="U111" s="16"/>
      <c r="V111" s="9">
        <v>5.4</v>
      </c>
      <c r="W111" s="9">
        <v>6</v>
      </c>
      <c r="X111" s="9">
        <v>8</v>
      </c>
      <c r="Y111" s="9"/>
      <c r="Z111" s="9"/>
      <c r="AA111" s="10"/>
      <c r="AB111" s="16">
        <v>1.1000000000000001</v>
      </c>
      <c r="AC111" s="10"/>
      <c r="AI111" s="458" t="s">
        <v>279</v>
      </c>
      <c r="AJ111" s="459"/>
      <c r="AK111" s="459"/>
      <c r="AL111" s="337">
        <v>2.54</v>
      </c>
      <c r="AM111" s="338"/>
      <c r="AP111" s="351" t="s">
        <v>267</v>
      </c>
      <c r="AQ111" s="351"/>
      <c r="AR111" s="351"/>
      <c r="AS111" s="351"/>
      <c r="AT111" s="505" t="str">
        <f>IF(AP112="","!","")</f>
        <v/>
      </c>
      <c r="AU111" s="323" t="s">
        <v>94</v>
      </c>
      <c r="AV111" s="323"/>
      <c r="AW111" s="323"/>
      <c r="AX111" s="323"/>
      <c r="AZ111" s="324" t="s">
        <v>93</v>
      </c>
      <c r="BA111" s="323"/>
      <c r="BB111" s="323"/>
      <c r="BC111" s="323"/>
      <c r="BI111" s="4" t="str">
        <f ca="1"/>
        <v>CRS Corded</v>
      </c>
      <c r="ES111" s="160" t="str">
        <f>""</f>
        <v/>
      </c>
      <c r="ET111" s="238"/>
      <c r="EU111" s="238"/>
      <c r="EV111" s="238"/>
      <c r="EW111" s="132" t="str">
        <f ca="1"/>
        <v>Return side</v>
      </c>
      <c r="EX111" s="7" t="s">
        <v>27</v>
      </c>
      <c r="EY111" s="13" t="s">
        <v>218</v>
      </c>
      <c r="EZ111" s="13"/>
      <c r="FA111" s="20"/>
      <c r="FC111" s="227"/>
      <c r="FD111" s="227"/>
      <c r="FE111" s="227"/>
      <c r="FF111" s="227"/>
    </row>
    <row r="112" spans="1:171" s="4" customFormat="1" hidden="1" x14ac:dyDescent="0.25">
      <c r="A112" s="11"/>
      <c r="B112" s="11"/>
      <c r="C112" s="458" t="s">
        <v>99</v>
      </c>
      <c r="D112" s="459"/>
      <c r="E112" s="459"/>
      <c r="F112" s="459"/>
      <c r="G112" s="459"/>
      <c r="H112" s="145">
        <f>IF(E11="",1,0)</f>
        <v>0</v>
      </c>
      <c r="I112" s="78"/>
      <c r="J112" s="169"/>
      <c r="K112" s="79"/>
      <c r="L112" s="11"/>
      <c r="M112" s="11"/>
      <c r="N112" s="11"/>
      <c r="O112" s="11"/>
      <c r="P112" s="11"/>
      <c r="Q112" s="11"/>
      <c r="U112" s="21">
        <v>8</v>
      </c>
      <c r="V112" s="4">
        <v>4.9000000000000004</v>
      </c>
      <c r="W112" s="4">
        <v>4.5</v>
      </c>
      <c r="X112" s="11">
        <v>0</v>
      </c>
      <c r="Y112" s="13">
        <f t="shared" ref="Y112:Y127" si="5">IF( $E$17 = $BA$112, IF( $E$27 = U112, V112, 0 ), 0 )</f>
        <v>0</v>
      </c>
      <c r="Z112" s="4">
        <f t="shared" ref="Z112:Z127" si="6">IF( $E$17 = $BA$113, IF( $E$27 = U112, W112, 0 ), 0 )</f>
        <v>0</v>
      </c>
      <c r="AA112" s="4">
        <f t="shared" ref="AA112:AA127" si="7">IF( $E$17 = $BA$114, IF( $E$27 = U112, X112, 0 ), 0 )</f>
        <v>0</v>
      </c>
      <c r="AB112" s="7">
        <v>7.9</v>
      </c>
      <c r="AC112" s="20">
        <f t="shared" ref="AC112:AC127" si="8">IF($E$27=U112,AB112,0)</f>
        <v>0</v>
      </c>
      <c r="AI112" s="460" t="s">
        <v>268</v>
      </c>
      <c r="AJ112" s="335"/>
      <c r="AK112" s="335"/>
      <c r="AL112" s="335">
        <f>E13*AL111</f>
        <v>254</v>
      </c>
      <c r="AM112" s="336"/>
      <c r="AN112" s="164" t="s">
        <v>236</v>
      </c>
      <c r="AP112" s="456" t="s">
        <v>236</v>
      </c>
      <c r="AQ112" s="456"/>
      <c r="AR112" s="456"/>
      <c r="AS112" s="457"/>
      <c r="AT112" s="505"/>
      <c r="AU112" s="483">
        <v>1</v>
      </c>
      <c r="AV112" s="335" t="str">
        <f t="shared" ref="AV112:AV117" ca="1" si="9">EW110</f>
        <v>Motor side</v>
      </c>
      <c r="AW112" s="335"/>
      <c r="AX112" s="336"/>
      <c r="AZ112" s="149">
        <v>8</v>
      </c>
      <c r="BA112" s="460" t="str">
        <f>IF($AP$112=$BA$117,AI119,AL119)</f>
        <v>5,4 cm (100%)</v>
      </c>
      <c r="BB112" s="335"/>
      <c r="BC112" s="336"/>
      <c r="BI112" s="4" t="str">
        <f ca="1"/>
        <v>CRS Rectangular 45</v>
      </c>
      <c r="EK112" s="11"/>
      <c r="ES112" s="160" t="str">
        <f>""</f>
        <v/>
      </c>
      <c r="ET112" s="238"/>
      <c r="EU112" s="238"/>
      <c r="EV112" s="238"/>
      <c r="EW112" s="132" t="str">
        <f ca="1"/>
        <v>Left side</v>
      </c>
      <c r="EX112" s="7" t="s">
        <v>28</v>
      </c>
      <c r="EY112" s="13" t="s">
        <v>219</v>
      </c>
      <c r="EZ112" s="13"/>
      <c r="FA112" s="20"/>
      <c r="FC112" s="227"/>
      <c r="FD112" s="227"/>
      <c r="FE112" s="227"/>
      <c r="FF112" s="227"/>
    </row>
    <row r="113" spans="1:162" s="4" customFormat="1" ht="15" hidden="1" customHeight="1" x14ac:dyDescent="0.25">
      <c r="C113" s="322" t="s">
        <v>112</v>
      </c>
      <c r="D113" s="323"/>
      <c r="E113" s="323"/>
      <c r="F113" s="323"/>
      <c r="G113" s="323"/>
      <c r="H113" s="13">
        <f>IF(E13="",1,0)</f>
        <v>0</v>
      </c>
      <c r="I113" s="154"/>
      <c r="J113" s="154"/>
      <c r="K113" s="66"/>
      <c r="U113" s="21">
        <v>9</v>
      </c>
      <c r="V113" s="4">
        <v>6.25</v>
      </c>
      <c r="W113" s="4">
        <v>5.56</v>
      </c>
      <c r="X113" s="4">
        <v>3.53</v>
      </c>
      <c r="Y113" s="13">
        <f t="shared" si="5"/>
        <v>0</v>
      </c>
      <c r="Z113" s="4">
        <f t="shared" si="6"/>
        <v>0</v>
      </c>
      <c r="AA113" s="4">
        <f t="shared" si="7"/>
        <v>0</v>
      </c>
      <c r="AB113" s="7">
        <v>8.91</v>
      </c>
      <c r="AC113" s="20">
        <f t="shared" si="8"/>
        <v>0</v>
      </c>
      <c r="AI113" s="322" t="s">
        <v>280</v>
      </c>
      <c r="AJ113" s="323"/>
      <c r="AK113" s="323"/>
      <c r="AL113" s="250">
        <f>IF($AQ$114=BE117,0,IF($AQ$114=BE118,0.125*$AL$111,IF($AQ$114=BE119,0.25*$AL$111,IF($AQ$114=BE120,0.375*$AL$111,IF($AQ$114=BE121,0.5*$AL$111,IF($AQ$114=BE122,0.625*$AL$111,IF($HF13105,0.75*$AL$111,IF($AQ$114=BE124,0.875*$AL$111,0))))))))</f>
        <v>0</v>
      </c>
      <c r="AM113" s="251"/>
      <c r="AN113" s="4" t="s">
        <v>236</v>
      </c>
      <c r="AP113" s="11"/>
      <c r="AU113" s="455"/>
      <c r="AV113" s="333" t="str">
        <f t="shared" ca="1" si="9"/>
        <v>Return side</v>
      </c>
      <c r="AW113" s="333"/>
      <c r="AX113" s="334"/>
      <c r="AZ113" s="28">
        <v>9</v>
      </c>
      <c r="BA113" s="461" t="str">
        <f>IF($AP$112=$BA$117,AI120,AL120)</f>
        <v>6 cm (80%)</v>
      </c>
      <c r="BB113" s="333"/>
      <c r="BC113" s="334"/>
      <c r="BI113" s="4" t="str">
        <f ca="1"/>
        <v>CRS Square 30</v>
      </c>
      <c r="EK113" s="11"/>
      <c r="ES113" s="160" t="str">
        <f>""</f>
        <v/>
      </c>
      <c r="ET113" s="238"/>
      <c r="EU113" s="238"/>
      <c r="EV113" s="238"/>
      <c r="EW113" s="132" t="str">
        <f ca="1"/>
        <v>Right side</v>
      </c>
      <c r="EX113" s="7" t="s">
        <v>29</v>
      </c>
      <c r="EY113" s="13" t="s">
        <v>220</v>
      </c>
      <c r="EZ113" s="13"/>
      <c r="FA113" s="20"/>
      <c r="FC113"/>
      <c r="FD113"/>
      <c r="FE113"/>
      <c r="FF113"/>
    </row>
    <row r="114" spans="1:162" s="4" customFormat="1" ht="15.75" hidden="1" thickBot="1" x14ac:dyDescent="0.3">
      <c r="A114" s="1"/>
      <c r="B114" s="1"/>
      <c r="C114" s="322" t="s">
        <v>113</v>
      </c>
      <c r="D114" s="323"/>
      <c r="E114" s="323"/>
      <c r="F114" s="323"/>
      <c r="G114" s="323"/>
      <c r="H114" s="13">
        <f>IF(E15="",1,0)</f>
        <v>0</v>
      </c>
      <c r="I114" s="154"/>
      <c r="J114" s="157"/>
      <c r="K114" s="67"/>
      <c r="S114" s="24"/>
      <c r="U114" s="21">
        <v>10</v>
      </c>
      <c r="V114" s="4">
        <v>7.68</v>
      </c>
      <c r="W114" s="4">
        <v>6.94</v>
      </c>
      <c r="X114" s="4">
        <v>5.0999999999999996</v>
      </c>
      <c r="Y114" s="13">
        <f t="shared" si="5"/>
        <v>0</v>
      </c>
      <c r="Z114" s="4">
        <f t="shared" si="6"/>
        <v>0</v>
      </c>
      <c r="AA114" s="4">
        <f t="shared" si="7"/>
        <v>0</v>
      </c>
      <c r="AB114" s="7">
        <v>9.92</v>
      </c>
      <c r="AC114" s="20">
        <f t="shared" si="8"/>
        <v>0</v>
      </c>
      <c r="AI114" s="241" t="s">
        <v>281</v>
      </c>
      <c r="AJ114" s="351"/>
      <c r="AK114" s="351"/>
      <c r="AL114" s="323">
        <f>AL112+AL113</f>
        <v>254</v>
      </c>
      <c r="AM114" s="454"/>
      <c r="AN114" s="11" t="s">
        <v>236</v>
      </c>
      <c r="AQ114" s="501" t="s">
        <v>16</v>
      </c>
      <c r="AR114" s="502"/>
      <c r="AU114" s="455">
        <v>2</v>
      </c>
      <c r="AV114" s="333" t="str">
        <f t="shared" ca="1" si="9"/>
        <v>Left side</v>
      </c>
      <c r="AW114" s="333"/>
      <c r="AX114" s="334"/>
      <c r="AZ114" s="28">
        <v>10</v>
      </c>
      <c r="BA114" s="465" t="str">
        <f>IF($AP$112=$BA$117,AI121,AL121)</f>
        <v>8 cm (60%)</v>
      </c>
      <c r="BB114" s="466"/>
      <c r="BC114" s="467"/>
      <c r="BI114" s="4" t="str">
        <f ca="1"/>
        <v>CS</v>
      </c>
      <c r="EK114" s="11"/>
      <c r="ES114" s="160" t="str">
        <f>""</f>
        <v/>
      </c>
      <c r="ET114" s="238"/>
      <c r="EU114" s="238"/>
      <c r="EV114" s="238"/>
      <c r="EW114" s="132" t="str">
        <f ca="1"/>
        <v>Control side</v>
      </c>
      <c r="EX114" s="7" t="s">
        <v>31</v>
      </c>
      <c r="EY114" s="13" t="s">
        <v>221</v>
      </c>
      <c r="EZ114" s="13"/>
      <c r="FA114" s="20"/>
      <c r="FC114"/>
      <c r="FD114"/>
      <c r="FE114"/>
      <c r="FF114"/>
    </row>
    <row r="115" spans="1:162" s="4" customFormat="1" hidden="1" x14ac:dyDescent="0.25">
      <c r="A115" s="1"/>
      <c r="B115" s="1"/>
      <c r="C115" s="322" t="s">
        <v>145</v>
      </c>
      <c r="D115" s="323"/>
      <c r="E115" s="323"/>
      <c r="F115" s="323"/>
      <c r="G115" s="323"/>
      <c r="H115" s="13">
        <f>IF($E$15=$BA$121,IF(OR(G56=8,G56=11,G56=18,G56=20),0,1),0)</f>
        <v>0</v>
      </c>
      <c r="I115" s="154"/>
      <c r="J115" s="157"/>
      <c r="K115" s="67"/>
      <c r="U115" s="21">
        <v>11</v>
      </c>
      <c r="V115" s="4">
        <v>8.9700000000000006</v>
      </c>
      <c r="W115" s="4">
        <v>8.3800000000000008</v>
      </c>
      <c r="X115" s="4">
        <v>6.3239999999999998</v>
      </c>
      <c r="Y115" s="13">
        <f t="shared" si="5"/>
        <v>0</v>
      </c>
      <c r="Z115" s="4">
        <f t="shared" si="6"/>
        <v>0</v>
      </c>
      <c r="AA115" s="4">
        <f t="shared" si="7"/>
        <v>0</v>
      </c>
      <c r="AB115" s="7">
        <v>10.93</v>
      </c>
      <c r="AC115" s="20">
        <f t="shared" si="8"/>
        <v>0</v>
      </c>
      <c r="AI115" s="497" t="s">
        <v>282</v>
      </c>
      <c r="AJ115" s="498"/>
      <c r="AK115" s="498"/>
      <c r="AL115" s="268">
        <f>IF(AP112=BA117,E13,AL114)</f>
        <v>100</v>
      </c>
      <c r="AM115" s="269"/>
      <c r="AN115" s="479" t="s">
        <v>236</v>
      </c>
      <c r="AQ115" s="503"/>
      <c r="AR115" s="504"/>
      <c r="AU115" s="455"/>
      <c r="AV115" s="333" t="str">
        <f t="shared" ca="1" si="9"/>
        <v>Right side</v>
      </c>
      <c r="AW115" s="333"/>
      <c r="AX115" s="334"/>
      <c r="AZ115" s="22">
        <v>11</v>
      </c>
      <c r="BA115" s="461" t="str">
        <f ca="1">EW107</f>
        <v>One-way draw</v>
      </c>
      <c r="BB115" s="333"/>
      <c r="BC115" s="334"/>
      <c r="BI115" s="4" t="str">
        <f ca="1"/>
        <v>CS Recess</v>
      </c>
      <c r="EK115" s="11"/>
      <c r="ES115" s="160" t="str">
        <f>""</f>
        <v/>
      </c>
      <c r="ET115" s="238"/>
      <c r="EU115" s="238"/>
      <c r="EV115" s="238"/>
      <c r="EW115" s="133" t="str">
        <f ca="1"/>
        <v>Return side</v>
      </c>
      <c r="EX115" s="114" t="s">
        <v>27</v>
      </c>
      <c r="EY115" s="116" t="s">
        <v>218</v>
      </c>
      <c r="EZ115" s="116"/>
      <c r="FA115" s="121"/>
      <c r="FC115"/>
      <c r="FD115"/>
      <c r="FE115"/>
      <c r="FF115"/>
    </row>
    <row r="116" spans="1:162" s="4" customFormat="1" ht="15.75" hidden="1" thickBot="1" x14ac:dyDescent="0.3">
      <c r="A116" s="1"/>
      <c r="B116" s="1"/>
      <c r="C116" s="322" t="s">
        <v>114</v>
      </c>
      <c r="D116" s="323"/>
      <c r="E116" s="323"/>
      <c r="F116" s="323"/>
      <c r="G116" s="323"/>
      <c r="H116" s="13">
        <f>IF(E17="",1,0)</f>
        <v>0</v>
      </c>
      <c r="I116" s="154"/>
      <c r="J116" s="155"/>
      <c r="K116" s="68"/>
      <c r="U116" s="21">
        <v>12</v>
      </c>
      <c r="V116" s="4">
        <v>10.199999999999999</v>
      </c>
      <c r="W116" s="4">
        <v>9.69</v>
      </c>
      <c r="X116" s="4">
        <v>7.4</v>
      </c>
      <c r="Y116" s="13">
        <f t="shared" si="5"/>
        <v>0</v>
      </c>
      <c r="Z116" s="4">
        <f t="shared" si="6"/>
        <v>0</v>
      </c>
      <c r="AA116" s="4">
        <f t="shared" si="7"/>
        <v>0</v>
      </c>
      <c r="AB116" s="7">
        <v>11.93</v>
      </c>
      <c r="AC116" s="20">
        <f t="shared" si="8"/>
        <v>0</v>
      </c>
      <c r="AI116" s="499"/>
      <c r="AJ116" s="500"/>
      <c r="AK116" s="500"/>
      <c r="AL116" s="270"/>
      <c r="AM116" s="271"/>
      <c r="AN116" s="479"/>
      <c r="AU116" s="455">
        <v>3</v>
      </c>
      <c r="AV116" s="333" t="str">
        <f t="shared" ca="1" si="9"/>
        <v>Control side</v>
      </c>
      <c r="AW116" s="333"/>
      <c r="AX116" s="334"/>
      <c r="AZ116" s="22">
        <v>12</v>
      </c>
      <c r="BA116" s="465" t="str">
        <f ca="1">EW106</f>
        <v>Center closing</v>
      </c>
      <c r="BB116" s="466"/>
      <c r="BC116" s="467"/>
      <c r="BI116" s="4" t="str">
        <f ca="1"/>
        <v>DS</v>
      </c>
      <c r="ES116" s="160" t="str">
        <f>""</f>
        <v/>
      </c>
      <c r="ET116" s="250" t="s">
        <v>176</v>
      </c>
      <c r="EU116" s="250"/>
      <c r="EV116" s="250"/>
      <c r="EW116" s="135" t="str">
        <f ca="1"/>
        <v>Language:</v>
      </c>
      <c r="EX116" s="117" t="s">
        <v>177</v>
      </c>
      <c r="EY116" s="118" t="s">
        <v>150</v>
      </c>
      <c r="EZ116" s="118"/>
      <c r="FA116" s="123"/>
      <c r="FC116"/>
      <c r="FD116"/>
      <c r="FE116"/>
      <c r="FF116"/>
    </row>
    <row r="117" spans="1:162" s="4" customFormat="1" ht="15.75" hidden="1" thickBot="1" x14ac:dyDescent="0.3">
      <c r="A117" s="11"/>
      <c r="C117" s="322" t="s">
        <v>115</v>
      </c>
      <c r="D117" s="323"/>
      <c r="E117" s="323"/>
      <c r="F117" s="323"/>
      <c r="G117" s="323"/>
      <c r="H117" s="13">
        <f>IF(E19="",1,0)</f>
        <v>0</v>
      </c>
      <c r="I117" s="154"/>
      <c r="J117" s="155"/>
      <c r="K117" s="68"/>
      <c r="U117" s="21">
        <v>13</v>
      </c>
      <c r="V117" s="1">
        <v>11.36</v>
      </c>
      <c r="W117" s="1">
        <v>10.9</v>
      </c>
      <c r="X117" s="1">
        <v>8.73</v>
      </c>
      <c r="Y117" s="13">
        <f t="shared" si="5"/>
        <v>0</v>
      </c>
      <c r="Z117" s="4">
        <f t="shared" si="6"/>
        <v>0</v>
      </c>
      <c r="AA117" s="4">
        <f t="shared" si="7"/>
        <v>0</v>
      </c>
      <c r="AB117" s="18">
        <v>12.94</v>
      </c>
      <c r="AC117" s="20">
        <f t="shared" si="8"/>
        <v>0</v>
      </c>
      <c r="AU117" s="480"/>
      <c r="AV117" s="466" t="str">
        <f t="shared" ca="1" si="9"/>
        <v>Return side</v>
      </c>
      <c r="AW117" s="466"/>
      <c r="AX117" s="467"/>
      <c r="AZ117" s="22">
        <v>13</v>
      </c>
      <c r="BA117" s="460" t="s">
        <v>236</v>
      </c>
      <c r="BB117" s="335"/>
      <c r="BC117" s="336"/>
      <c r="BE117" s="168" t="s">
        <v>16</v>
      </c>
      <c r="BI117" s="4" t="str">
        <f ca="1"/>
        <v>DS-XL</v>
      </c>
      <c r="ES117" s="160" t="str">
        <f>""</f>
        <v/>
      </c>
      <c r="ET117" s="238" t="s">
        <v>180</v>
      </c>
      <c r="EU117" s="238"/>
      <c r="EV117" s="238"/>
      <c r="EW117" s="134" t="str">
        <f ca="1"/>
        <v>*  In combination with 'Easyflex hook fitter 9900000017'.</v>
      </c>
      <c r="EX117" s="111" t="s">
        <v>249</v>
      </c>
      <c r="EY117" s="113" t="s">
        <v>248</v>
      </c>
      <c r="EZ117" s="13"/>
      <c r="FA117" s="20"/>
      <c r="FC117"/>
      <c r="FD117"/>
      <c r="FE117"/>
      <c r="FF117"/>
    </row>
    <row r="118" spans="1:162" s="4" customFormat="1" ht="15.75" hidden="1" thickBot="1" x14ac:dyDescent="0.3">
      <c r="A118" s="11"/>
      <c r="C118" s="322" t="s">
        <v>18</v>
      </c>
      <c r="D118" s="323"/>
      <c r="E118" s="323"/>
      <c r="F118" s="323"/>
      <c r="G118" s="323"/>
      <c r="H118" s="13">
        <f ca="1">IF(S56=0,0,IF(E21="",1,0))</f>
        <v>0</v>
      </c>
      <c r="I118" s="154"/>
      <c r="J118" s="154"/>
      <c r="K118" s="66"/>
      <c r="U118" s="21">
        <v>14</v>
      </c>
      <c r="V118" s="1">
        <v>12.5</v>
      </c>
      <c r="W118" s="1">
        <v>12.1</v>
      </c>
      <c r="X118" s="1">
        <v>10.24</v>
      </c>
      <c r="Y118" s="13">
        <f t="shared" si="5"/>
        <v>0</v>
      </c>
      <c r="Z118" s="4">
        <f t="shared" si="6"/>
        <v>0</v>
      </c>
      <c r="AA118" s="4">
        <f t="shared" si="7"/>
        <v>0</v>
      </c>
      <c r="AB118" s="18">
        <v>13.94</v>
      </c>
      <c r="AC118" s="20">
        <f t="shared" si="8"/>
        <v>0</v>
      </c>
      <c r="AI118" s="462" t="s">
        <v>236</v>
      </c>
      <c r="AJ118" s="463"/>
      <c r="AK118" s="464"/>
      <c r="AL118" s="462" t="s">
        <v>270</v>
      </c>
      <c r="AM118" s="463"/>
      <c r="AN118" s="464"/>
      <c r="AZ118" s="22">
        <v>14</v>
      </c>
      <c r="BA118" s="465" t="s">
        <v>268</v>
      </c>
      <c r="BB118" s="466"/>
      <c r="BC118" s="467"/>
      <c r="BE118" s="150" t="s">
        <v>260</v>
      </c>
      <c r="BI118" s="4" t="str">
        <f ca="1"/>
        <v>DS-XL Corded</v>
      </c>
      <c r="ES118" s="160" t="str">
        <f>""</f>
        <v/>
      </c>
      <c r="ET118" s="238"/>
      <c r="EU118" s="238"/>
      <c r="EV118" s="238"/>
      <c r="EW118" s="132" t="str">
        <f ca="1"/>
        <v>** Includes carriers that are placed inside master carriers.</v>
      </c>
      <c r="EX118" s="7" t="s">
        <v>147</v>
      </c>
      <c r="EY118" s="13" t="s">
        <v>246</v>
      </c>
      <c r="EZ118" s="13"/>
      <c r="FA118" s="20"/>
      <c r="FC118"/>
      <c r="FD118"/>
      <c r="FE118"/>
      <c r="FF118"/>
    </row>
    <row r="119" spans="1:162" s="4" customFormat="1" ht="17.25" hidden="1" customHeight="1" x14ac:dyDescent="0.25">
      <c r="A119" s="25"/>
      <c r="C119" s="322" t="s">
        <v>116</v>
      </c>
      <c r="D119" s="323"/>
      <c r="E119" s="323"/>
      <c r="F119" s="323"/>
      <c r="G119" s="323"/>
      <c r="H119" s="141">
        <f ca="1">IF(E11=A75,IF(E23="",1,0),0)</f>
        <v>0</v>
      </c>
      <c r="I119" s="156"/>
      <c r="J119" s="154"/>
      <c r="K119" s="66"/>
      <c r="U119" s="21">
        <v>15</v>
      </c>
      <c r="V119" s="1">
        <v>13.6</v>
      </c>
      <c r="W119" s="1">
        <v>13.26</v>
      </c>
      <c r="X119" s="1">
        <v>11.62</v>
      </c>
      <c r="Y119" s="13">
        <f t="shared" si="5"/>
        <v>0</v>
      </c>
      <c r="Z119" s="4">
        <f t="shared" si="6"/>
        <v>0</v>
      </c>
      <c r="AA119" s="4">
        <f t="shared" si="7"/>
        <v>0</v>
      </c>
      <c r="AB119" s="18">
        <v>14.95</v>
      </c>
      <c r="AC119" s="20">
        <f t="shared" si="8"/>
        <v>0</v>
      </c>
      <c r="AI119" s="460" t="s">
        <v>7</v>
      </c>
      <c r="AJ119" s="335"/>
      <c r="AK119" s="336"/>
      <c r="AL119" s="474" t="s">
        <v>257</v>
      </c>
      <c r="AM119" s="475"/>
      <c r="AN119" s="476"/>
      <c r="AZ119" s="28">
        <v>15</v>
      </c>
      <c r="BA119" s="57" t="s">
        <v>0</v>
      </c>
      <c r="BB119" s="33"/>
      <c r="BC119" s="34"/>
      <c r="BE119" s="151" t="s">
        <v>261</v>
      </c>
      <c r="BI119" s="4" t="str">
        <f ca="1"/>
        <v>DS-XL LED</v>
      </c>
      <c r="ES119" s="160" t="str">
        <f>""</f>
        <v/>
      </c>
      <c r="ET119" s="238"/>
      <c r="EU119" s="238"/>
      <c r="EV119" s="238"/>
      <c r="EW119" s="132" t="str">
        <f ca="1"/>
        <v>*** Always measured from the left side, only for hand operated curtains.</v>
      </c>
      <c r="EX119" s="7" t="s">
        <v>223</v>
      </c>
      <c r="EY119" s="13" t="s">
        <v>247</v>
      </c>
      <c r="EZ119" s="13"/>
      <c r="FA119" s="20"/>
      <c r="FC119"/>
      <c r="FD119"/>
      <c r="FE119"/>
      <c r="FF119"/>
    </row>
    <row r="120" spans="1:162" s="4" customFormat="1" hidden="1" x14ac:dyDescent="0.25">
      <c r="A120" s="1"/>
      <c r="B120" s="1"/>
      <c r="C120" s="322" t="s">
        <v>117</v>
      </c>
      <c r="D120" s="323"/>
      <c r="E120" s="323"/>
      <c r="F120" s="323"/>
      <c r="G120" s="323"/>
      <c r="H120" s="146"/>
      <c r="I120" s="11">
        <f>IF(OR(E27="-",E27=""),1,0)</f>
        <v>0</v>
      </c>
      <c r="J120" s="154"/>
      <c r="K120" s="66"/>
      <c r="L120" s="1"/>
      <c r="M120" s="1"/>
      <c r="N120" s="1"/>
      <c r="O120" s="1"/>
      <c r="P120" s="1"/>
      <c r="U120" s="21">
        <v>16</v>
      </c>
      <c r="V120" s="1">
        <v>14.7</v>
      </c>
      <c r="W120" s="1">
        <v>14.39</v>
      </c>
      <c r="X120" s="1">
        <v>12.9</v>
      </c>
      <c r="Y120" s="13">
        <f t="shared" si="5"/>
        <v>0</v>
      </c>
      <c r="Z120" s="4">
        <f t="shared" si="6"/>
        <v>0</v>
      </c>
      <c r="AA120" s="4">
        <f t="shared" si="7"/>
        <v>12.9</v>
      </c>
      <c r="AB120" s="18">
        <v>15.95</v>
      </c>
      <c r="AC120" s="20">
        <f>IF($E$27=U120,AB120,0)</f>
        <v>15.95</v>
      </c>
      <c r="AI120" s="461" t="s">
        <v>8</v>
      </c>
      <c r="AJ120" s="333"/>
      <c r="AK120" s="334"/>
      <c r="AL120" s="481" t="s">
        <v>258</v>
      </c>
      <c r="AM120" s="279"/>
      <c r="AN120" s="482"/>
      <c r="AZ120" s="28">
        <v>16</v>
      </c>
      <c r="BA120" s="18" t="s">
        <v>5</v>
      </c>
      <c r="BC120" s="8"/>
      <c r="BE120" s="150" t="s">
        <v>262</v>
      </c>
      <c r="BI120" s="4" t="str">
        <f ca="1"/>
        <v>DS-XL LED Motorised</v>
      </c>
      <c r="ES120" s="160" t="str">
        <f>""</f>
        <v/>
      </c>
      <c r="ET120" s="238"/>
      <c r="EU120" s="238"/>
      <c r="EV120" s="238"/>
      <c r="EW120" s="132" t="str">
        <f ca="1"/>
        <v>- Product tolerances are calculated in the final results.</v>
      </c>
      <c r="EX120" s="119" t="s">
        <v>33</v>
      </c>
      <c r="EY120" s="141" t="s">
        <v>222</v>
      </c>
      <c r="EZ120" s="13"/>
      <c r="FA120" s="20"/>
      <c r="FC120"/>
      <c r="FD120"/>
      <c r="FE120"/>
      <c r="FF120"/>
    </row>
    <row r="121" spans="1:162" s="4" customFormat="1" ht="15.75" hidden="1" thickBot="1" x14ac:dyDescent="0.3">
      <c r="A121" s="1"/>
      <c r="B121" s="1"/>
      <c r="C121" s="322" t="s">
        <v>118</v>
      </c>
      <c r="D121" s="323"/>
      <c r="E121" s="323"/>
      <c r="F121" s="323"/>
      <c r="G121" s="323"/>
      <c r="H121" s="13">
        <f>IF(ISTEXT(E13)=TRUE,1,0)</f>
        <v>0</v>
      </c>
      <c r="I121" s="154"/>
      <c r="J121" s="154"/>
      <c r="K121" s="66"/>
      <c r="U121" s="21">
        <v>17</v>
      </c>
      <c r="V121" s="1">
        <v>15.8</v>
      </c>
      <c r="W121" s="1">
        <v>15.5</v>
      </c>
      <c r="X121" s="1">
        <v>14.16</v>
      </c>
      <c r="Y121" s="13">
        <f t="shared" si="5"/>
        <v>0</v>
      </c>
      <c r="Z121" s="4">
        <f t="shared" si="6"/>
        <v>0</v>
      </c>
      <c r="AA121" s="4">
        <f t="shared" si="7"/>
        <v>0</v>
      </c>
      <c r="AB121" s="18">
        <v>16.95</v>
      </c>
      <c r="AC121" s="20">
        <f t="shared" si="8"/>
        <v>0</v>
      </c>
      <c r="AI121" s="465" t="s">
        <v>9</v>
      </c>
      <c r="AJ121" s="466"/>
      <c r="AK121" s="467"/>
      <c r="AL121" s="471" t="s">
        <v>259</v>
      </c>
      <c r="AM121" s="472"/>
      <c r="AN121" s="473"/>
      <c r="AZ121" s="28">
        <v>17</v>
      </c>
      <c r="BA121" s="16" t="s">
        <v>136</v>
      </c>
      <c r="BB121" s="2"/>
      <c r="BC121" s="32"/>
      <c r="BE121" s="152" t="s">
        <v>263</v>
      </c>
      <c r="BI121" s="4" t="str">
        <f ca="1"/>
        <v>DS-XL Motorised</v>
      </c>
      <c r="ES121" s="160" t="str">
        <f>""</f>
        <v/>
      </c>
      <c r="ET121" s="238"/>
      <c r="EU121" s="238"/>
      <c r="EV121" s="238"/>
      <c r="EW121" s="133" t="str">
        <f ca="1"/>
        <v>- No rights can be derived from this calculation tool.</v>
      </c>
      <c r="EX121" s="120" t="s">
        <v>21</v>
      </c>
      <c r="EY121" s="140" t="s">
        <v>225</v>
      </c>
      <c r="EZ121" s="116"/>
      <c r="FA121" s="121"/>
      <c r="FC121"/>
      <c r="FD121"/>
      <c r="FE121"/>
      <c r="FF121"/>
    </row>
    <row r="122" spans="1:162" s="4" customFormat="1" ht="15.75" hidden="1" thickBot="1" x14ac:dyDescent="0.3">
      <c r="A122" s="70"/>
      <c r="B122" s="70"/>
      <c r="C122" s="322" t="s">
        <v>119</v>
      </c>
      <c r="D122" s="323"/>
      <c r="E122" s="323"/>
      <c r="F122" s="323"/>
      <c r="G122" s="323"/>
      <c r="H122" s="147">
        <f>IF(ISTEXT(E23)=TRUE,1,0)</f>
        <v>0</v>
      </c>
      <c r="I122" s="157"/>
      <c r="J122" s="154"/>
      <c r="K122" s="66"/>
      <c r="U122" s="21">
        <v>18</v>
      </c>
      <c r="V122" s="1">
        <v>16.87</v>
      </c>
      <c r="W122" s="1">
        <v>16.600000000000001</v>
      </c>
      <c r="X122" s="1">
        <v>15.4</v>
      </c>
      <c r="Y122" s="13">
        <f t="shared" si="5"/>
        <v>0</v>
      </c>
      <c r="Z122" s="4">
        <f t="shared" si="6"/>
        <v>0</v>
      </c>
      <c r="AA122" s="4">
        <f t="shared" si="7"/>
        <v>0</v>
      </c>
      <c r="AB122" s="18">
        <v>17.95</v>
      </c>
      <c r="AC122" s="20">
        <f t="shared" si="8"/>
        <v>0</v>
      </c>
      <c r="AZ122" s="22">
        <v>18</v>
      </c>
      <c r="BA122" s="7"/>
      <c r="BC122" s="8"/>
      <c r="BE122" s="152" t="s">
        <v>264</v>
      </c>
      <c r="BI122" s="4" t="str">
        <f ca="1"/>
        <v>FMS (Shuttle)</v>
      </c>
      <c r="ES122" s="160" t="str">
        <f>""</f>
        <v/>
      </c>
      <c r="ET122" s="238" t="s">
        <v>224</v>
      </c>
      <c r="EU122" s="238"/>
      <c r="EV122" s="240"/>
      <c r="EW122" s="132" t="str">
        <f ca="1"/>
        <v>FMS (Shuttle)</v>
      </c>
      <c r="EX122" s="127" t="s">
        <v>65</v>
      </c>
      <c r="EY122" s="127" t="s">
        <v>65</v>
      </c>
      <c r="EZ122" s="129"/>
      <c r="FA122" s="20"/>
      <c r="FC122"/>
      <c r="FD122"/>
      <c r="FE122"/>
      <c r="FF122"/>
    </row>
    <row r="123" spans="1:162" s="4" customFormat="1" hidden="1" x14ac:dyDescent="0.25">
      <c r="A123" s="70"/>
      <c r="B123" s="70"/>
      <c r="C123" s="322" t="s">
        <v>22</v>
      </c>
      <c r="D123" s="323"/>
      <c r="E123" s="323"/>
      <c r="F123" s="323"/>
      <c r="G123" s="323"/>
      <c r="H123" s="147">
        <f>IF(AL115&lt;P123,1,0)</f>
        <v>0</v>
      </c>
      <c r="I123" s="155"/>
      <c r="J123" s="154"/>
      <c r="K123" s="66"/>
      <c r="L123" s="325" t="s">
        <v>134</v>
      </c>
      <c r="M123" s="325"/>
      <c r="N123" s="325"/>
      <c r="O123" s="325"/>
      <c r="P123" s="326">
        <v>20</v>
      </c>
      <c r="Q123" s="262"/>
      <c r="R123" s="4" t="s">
        <v>236</v>
      </c>
      <c r="U123" s="21">
        <v>19</v>
      </c>
      <c r="V123" s="1">
        <v>17.899999999999999</v>
      </c>
      <c r="W123" s="1">
        <v>17.68</v>
      </c>
      <c r="X123" s="1">
        <v>16.5</v>
      </c>
      <c r="Y123" s="13">
        <f t="shared" si="5"/>
        <v>0</v>
      </c>
      <c r="Z123" s="4">
        <f t="shared" si="6"/>
        <v>0</v>
      </c>
      <c r="AA123" s="4">
        <f t="shared" si="7"/>
        <v>0</v>
      </c>
      <c r="AB123" s="18">
        <v>18.96</v>
      </c>
      <c r="AC123" s="20">
        <f t="shared" si="8"/>
        <v>0</v>
      </c>
      <c r="AI123" s="11"/>
      <c r="AJ123" s="11"/>
      <c r="AK123" s="11"/>
      <c r="AL123" s="11"/>
      <c r="AM123" s="11"/>
      <c r="AO123" s="100"/>
      <c r="AP123" s="100"/>
      <c r="AQ123" s="100"/>
      <c r="AZ123" s="22">
        <v>19</v>
      </c>
      <c r="BA123" s="57" t="str">
        <f ca="1">EW108</f>
        <v>Steel</v>
      </c>
      <c r="BB123" s="33"/>
      <c r="BC123" s="34"/>
      <c r="BE123" s="152" t="s">
        <v>265</v>
      </c>
      <c r="BI123" s="4" t="str">
        <f ca="1"/>
        <v>FMS Dual</v>
      </c>
      <c r="ES123" s="160" t="str">
        <f>""</f>
        <v/>
      </c>
      <c r="ET123" s="238"/>
      <c r="EU123" s="238"/>
      <c r="EV123" s="240"/>
      <c r="EW123" s="136" t="str">
        <f ca="1"/>
        <v>FMS Plus</v>
      </c>
      <c r="EX123" s="127" t="s">
        <v>66</v>
      </c>
      <c r="EY123" s="127" t="s">
        <v>66</v>
      </c>
      <c r="EZ123" s="129"/>
      <c r="FA123" s="20"/>
      <c r="FC123"/>
      <c r="FD123"/>
      <c r="FE123"/>
      <c r="FF123"/>
    </row>
    <row r="124" spans="1:162" s="4" customFormat="1" ht="15.75" hidden="1" thickBot="1" x14ac:dyDescent="0.3">
      <c r="A124" s="71"/>
      <c r="B124" s="71"/>
      <c r="C124" s="322" t="s">
        <v>234</v>
      </c>
      <c r="D124" s="323"/>
      <c r="E124" s="323"/>
      <c r="F124" s="323"/>
      <c r="G124" s="323"/>
      <c r="H124" s="13">
        <f>IF(AL115&gt;P124,1,0)</f>
        <v>0</v>
      </c>
      <c r="I124" s="154"/>
      <c r="J124" s="154"/>
      <c r="K124" s="66"/>
      <c r="L124" s="325" t="s">
        <v>235</v>
      </c>
      <c r="M124" s="325"/>
      <c r="N124" s="325"/>
      <c r="O124" s="325"/>
      <c r="P124" s="326">
        <v>1400</v>
      </c>
      <c r="Q124" s="262"/>
      <c r="R124" s="4" t="s">
        <v>236</v>
      </c>
      <c r="U124" s="21">
        <v>20</v>
      </c>
      <c r="V124" s="1">
        <v>18.989999999999998</v>
      </c>
      <c r="W124" s="1">
        <v>18.75</v>
      </c>
      <c r="X124" s="1">
        <v>17.68</v>
      </c>
      <c r="Y124" s="13">
        <f t="shared" si="5"/>
        <v>0</v>
      </c>
      <c r="Z124" s="4">
        <f t="shared" si="6"/>
        <v>0</v>
      </c>
      <c r="AA124" s="4">
        <f t="shared" si="7"/>
        <v>0</v>
      </c>
      <c r="AB124" s="18">
        <v>19.96</v>
      </c>
      <c r="AC124" s="20">
        <f t="shared" si="8"/>
        <v>0</v>
      </c>
      <c r="AL124" s="11"/>
      <c r="AM124" s="11"/>
      <c r="AO124" s="35"/>
      <c r="AP124" s="102"/>
      <c r="AQ124" s="102"/>
      <c r="AZ124" s="22">
        <v>20</v>
      </c>
      <c r="BA124" s="19" t="str">
        <f ca="1">EW109</f>
        <v>Plastic</v>
      </c>
      <c r="BB124" s="2"/>
      <c r="BC124" s="32"/>
      <c r="BE124" s="153" t="s">
        <v>266</v>
      </c>
      <c r="BI124" s="4" t="str">
        <f ca="1"/>
        <v>FMS Plus</v>
      </c>
      <c r="ES124" s="160" t="str">
        <f>""</f>
        <v/>
      </c>
      <c r="ET124" s="238"/>
      <c r="EU124" s="238"/>
      <c r="EV124" s="240"/>
      <c r="EW124" s="136" t="str">
        <f ca="1"/>
        <v>FMS Plus Recess</v>
      </c>
      <c r="EX124" s="127" t="s">
        <v>105</v>
      </c>
      <c r="EY124" s="127" t="s">
        <v>186</v>
      </c>
      <c r="EZ124" s="129"/>
      <c r="FA124" s="20"/>
      <c r="FC124"/>
      <c r="FD124"/>
      <c r="FE124"/>
      <c r="FF124"/>
    </row>
    <row r="125" spans="1:162" s="4" customFormat="1" hidden="1" x14ac:dyDescent="0.25">
      <c r="A125" s="71"/>
      <c r="B125" s="71"/>
      <c r="C125" s="322" t="s">
        <v>125</v>
      </c>
      <c r="D125" s="323"/>
      <c r="E125" s="323"/>
      <c r="F125" s="323"/>
      <c r="G125" s="323"/>
      <c r="H125" s="148"/>
      <c r="I125" s="156"/>
      <c r="J125" s="4">
        <f>IF(ISTEXT(E25)=TRUE,1,0)</f>
        <v>0</v>
      </c>
      <c r="K125" s="66"/>
      <c r="U125" s="21">
        <v>21</v>
      </c>
      <c r="V125" s="1">
        <v>20.05</v>
      </c>
      <c r="W125" s="1">
        <v>19.809999999999999</v>
      </c>
      <c r="X125" s="1">
        <v>18.8</v>
      </c>
      <c r="Y125" s="13">
        <f t="shared" si="5"/>
        <v>0</v>
      </c>
      <c r="Z125" s="4">
        <f t="shared" si="6"/>
        <v>0</v>
      </c>
      <c r="AA125" s="4">
        <f t="shared" si="7"/>
        <v>0</v>
      </c>
      <c r="AB125" s="18">
        <v>20.96</v>
      </c>
      <c r="AC125" s="20">
        <f t="shared" si="8"/>
        <v>0</v>
      </c>
      <c r="AO125" s="237"/>
      <c r="AP125" s="102"/>
      <c r="AQ125" s="102"/>
      <c r="AZ125" s="22">
        <v>21</v>
      </c>
      <c r="BA125" s="11"/>
      <c r="BI125" s="4" t="str">
        <f ca="1"/>
        <v>FMS Plus Recess</v>
      </c>
      <c r="ES125" s="160" t="str">
        <f>""</f>
        <v/>
      </c>
      <c r="ET125" s="238"/>
      <c r="EU125" s="238"/>
      <c r="EV125" s="240"/>
      <c r="EW125" s="136" t="str">
        <f ca="1"/>
        <v>MRS</v>
      </c>
      <c r="EX125" s="127" t="s">
        <v>2</v>
      </c>
      <c r="EY125" s="127" t="s">
        <v>2</v>
      </c>
      <c r="EZ125" s="129"/>
      <c r="FA125" s="20"/>
      <c r="FC125"/>
      <c r="FD125"/>
      <c r="FE125"/>
      <c r="FF125"/>
    </row>
    <row r="126" spans="1:162" s="4" customFormat="1" ht="15.75" hidden="1" customHeight="1" x14ac:dyDescent="0.25">
      <c r="A126" s="71"/>
      <c r="B126" s="71"/>
      <c r="C126" s="322" t="s">
        <v>126</v>
      </c>
      <c r="D126" s="323"/>
      <c r="E126" s="323"/>
      <c r="F126" s="323"/>
      <c r="G126" s="323"/>
      <c r="H126" s="146"/>
      <c r="I126" s="156"/>
      <c r="J126" s="4">
        <f>IF(E25&lt;5,1,0)</f>
        <v>1</v>
      </c>
      <c r="K126" s="66"/>
      <c r="U126" s="21">
        <v>22</v>
      </c>
      <c r="V126" s="1">
        <v>21.1</v>
      </c>
      <c r="W126" s="1">
        <v>20.87</v>
      </c>
      <c r="X126" s="1">
        <v>19.899999999999999</v>
      </c>
      <c r="Y126" s="13">
        <f t="shared" si="5"/>
        <v>0</v>
      </c>
      <c r="Z126" s="4">
        <f t="shared" si="6"/>
        <v>0</v>
      </c>
      <c r="AA126" s="4">
        <f t="shared" si="7"/>
        <v>0</v>
      </c>
      <c r="AB126" s="18">
        <v>21.96</v>
      </c>
      <c r="AC126" s="20">
        <f t="shared" si="8"/>
        <v>0</v>
      </c>
      <c r="AO126" s="104"/>
      <c r="AP126" s="102"/>
      <c r="AQ126" s="102"/>
      <c r="AZ126" s="22">
        <v>22</v>
      </c>
      <c r="BA126" s="11"/>
      <c r="BI126" s="4" t="str">
        <f ca="1"/>
        <v>KS</v>
      </c>
      <c r="ES126" s="160" t="str">
        <f>""</f>
        <v/>
      </c>
      <c r="ET126" s="238"/>
      <c r="EU126" s="238"/>
      <c r="EV126" s="240"/>
      <c r="EW126" s="136" t="str">
        <f ca="1"/>
        <v>CCS</v>
      </c>
      <c r="EX126" s="127" t="s">
        <v>14</v>
      </c>
      <c r="EY126" s="127" t="s">
        <v>14</v>
      </c>
      <c r="EZ126" s="129"/>
      <c r="FA126" s="20"/>
      <c r="FC126"/>
      <c r="FD126"/>
      <c r="FE126"/>
      <c r="FF126"/>
    </row>
    <row r="127" spans="1:162" s="4" customFormat="1" ht="15.75" hidden="1" thickBot="1" x14ac:dyDescent="0.3">
      <c r="A127" s="71"/>
      <c r="B127" s="71"/>
      <c r="C127" s="322" t="s">
        <v>130</v>
      </c>
      <c r="D127" s="323"/>
      <c r="E127" s="323"/>
      <c r="F127" s="323"/>
      <c r="G127" s="323"/>
      <c r="H127" s="146"/>
      <c r="I127" s="156"/>
      <c r="J127" s="4">
        <f>IF(E25&gt;(AL115-5),1,0)</f>
        <v>0</v>
      </c>
      <c r="K127" s="66"/>
      <c r="U127" s="21">
        <v>23</v>
      </c>
      <c r="V127" s="1">
        <v>22.1</v>
      </c>
      <c r="W127" s="1">
        <v>21.92</v>
      </c>
      <c r="X127" s="1">
        <v>21.03</v>
      </c>
      <c r="Y127" s="13">
        <f t="shared" si="5"/>
        <v>0</v>
      </c>
      <c r="Z127" s="4">
        <f t="shared" si="6"/>
        <v>0</v>
      </c>
      <c r="AA127" s="4">
        <f t="shared" si="7"/>
        <v>0</v>
      </c>
      <c r="AB127" s="18">
        <v>22.96</v>
      </c>
      <c r="AC127" s="20">
        <f t="shared" si="8"/>
        <v>0</v>
      </c>
      <c r="AO127" s="104"/>
      <c r="AP127" s="102"/>
      <c r="AQ127" s="102"/>
      <c r="AZ127" s="36">
        <v>23</v>
      </c>
      <c r="BA127" s="11"/>
      <c r="BI127" s="4" t="str">
        <f ca="1"/>
        <v>KS Recess</v>
      </c>
      <c r="ES127" s="160" t="str">
        <f>""</f>
        <v/>
      </c>
      <c r="ET127" s="238"/>
      <c r="EU127" s="238"/>
      <c r="EV127" s="240"/>
      <c r="EW127" s="136" t="str">
        <f ca="1"/>
        <v>CRS Corded</v>
      </c>
      <c r="EX127" s="127" t="s">
        <v>104</v>
      </c>
      <c r="EY127" s="127" t="s">
        <v>187</v>
      </c>
      <c r="EZ127" s="129"/>
      <c r="FA127" s="20"/>
      <c r="FC127"/>
      <c r="FD127"/>
      <c r="FE127"/>
      <c r="FF127"/>
    </row>
    <row r="128" spans="1:162" s="4" customFormat="1" ht="15.75" hidden="1" thickBot="1" x14ac:dyDescent="0.3">
      <c r="A128" s="72"/>
      <c r="B128" s="72"/>
      <c r="C128" s="322" t="s">
        <v>131</v>
      </c>
      <c r="D128" s="323"/>
      <c r="E128" s="323"/>
      <c r="F128" s="323"/>
      <c r="G128" s="323"/>
      <c r="H128" s="146"/>
      <c r="I128" s="156"/>
      <c r="J128" s="4">
        <f ca="1">IF(J56=2,0,1)</f>
        <v>1</v>
      </c>
      <c r="K128" s="66"/>
      <c r="U128" s="19"/>
      <c r="V128" s="2"/>
      <c r="W128" s="2"/>
      <c r="X128" s="2"/>
      <c r="Y128" s="400">
        <f ca="1">IF(E11=A75,ROUNDUP(SUM(Y112:AA127),0)+5,ROUNDUP(SUM(Y112:AA127),0))</f>
        <v>13</v>
      </c>
      <c r="Z128" s="401"/>
      <c r="AA128" s="402"/>
      <c r="AB128" s="400">
        <f>IF(E11=G113,ROUNDUP(SUM(AC112:AC127),0)+5,ROUNDUP(SUM(AC112:AC127),0))</f>
        <v>16</v>
      </c>
      <c r="AC128" s="402"/>
      <c r="AZ128" s="23" t="s">
        <v>16</v>
      </c>
      <c r="BA128" s="11"/>
      <c r="BI128" s="4" t="str">
        <f ca="1"/>
        <v>MRS</v>
      </c>
      <c r="ES128" s="160" t="str">
        <f>""</f>
        <v/>
      </c>
      <c r="ET128" s="238"/>
      <c r="EU128" s="238"/>
      <c r="EV128" s="240"/>
      <c r="EW128" s="136" t="str">
        <f ca="1"/>
        <v>CRS 20</v>
      </c>
      <c r="EX128" s="127" t="s">
        <v>138</v>
      </c>
      <c r="EY128" s="127" t="s">
        <v>138</v>
      </c>
      <c r="EZ128" s="129"/>
      <c r="FA128" s="20"/>
      <c r="FC128"/>
      <c r="FD128"/>
      <c r="FE128"/>
      <c r="FF128"/>
    </row>
    <row r="129" spans="1:162" s="4" customFormat="1" hidden="1" x14ac:dyDescent="0.25">
      <c r="A129" s="73"/>
      <c r="B129" s="73"/>
      <c r="C129" s="322" t="s">
        <v>140</v>
      </c>
      <c r="D129" s="323"/>
      <c r="E129" s="323"/>
      <c r="F129" s="323"/>
      <c r="G129" s="323"/>
      <c r="H129" s="146"/>
      <c r="I129" s="156"/>
      <c r="J129" s="4">
        <f ca="1">IF(E19=BA115,1,0)</f>
        <v>1</v>
      </c>
      <c r="K129" s="66"/>
      <c r="BI129" s="1" t="str">
        <f ca="1"/>
        <v>MRS Universal</v>
      </c>
      <c r="BJ129" s="15"/>
      <c r="BK129" s="15"/>
      <c r="BL129" s="15"/>
      <c r="ES129" s="160" t="str">
        <f>""</f>
        <v/>
      </c>
      <c r="ET129" s="238"/>
      <c r="EU129" s="238"/>
      <c r="EV129" s="240"/>
      <c r="EW129" s="136" t="str">
        <f ca="1"/>
        <v>CRS 28</v>
      </c>
      <c r="EX129" s="127" t="s">
        <v>139</v>
      </c>
      <c r="EY129" s="127" t="s">
        <v>139</v>
      </c>
      <c r="EZ129" s="129"/>
      <c r="FA129" s="20"/>
      <c r="FC129"/>
      <c r="FD129"/>
      <c r="FE129"/>
      <c r="FF129"/>
    </row>
    <row r="130" spans="1:162" s="4" customFormat="1" hidden="1" x14ac:dyDescent="0.25">
      <c r="A130" s="77"/>
      <c r="B130" s="77"/>
      <c r="C130" s="322" t="s">
        <v>34</v>
      </c>
      <c r="D130" s="323"/>
      <c r="E130" s="323"/>
      <c r="F130" s="323"/>
      <c r="G130" s="323"/>
      <c r="H130" s="146"/>
      <c r="I130" s="156"/>
      <c r="J130" s="4">
        <f ca="1">IF(E11=A75,1,0)</f>
        <v>0</v>
      </c>
      <c r="K130" s="66"/>
      <c r="BI130" s="1"/>
      <c r="BJ130" s="15"/>
      <c r="BK130" s="15"/>
      <c r="BL130" s="15"/>
      <c r="ES130" s="160" t="str">
        <f>""</f>
        <v/>
      </c>
      <c r="ET130" s="238"/>
      <c r="EU130" s="238"/>
      <c r="EV130" s="240"/>
      <c r="EW130" s="136" t="str">
        <f ca="1"/>
        <v>KS</v>
      </c>
      <c r="EX130" s="127" t="s">
        <v>36</v>
      </c>
      <c r="EY130" s="127" t="s">
        <v>36</v>
      </c>
      <c r="EZ130" s="129"/>
      <c r="FA130" s="20"/>
      <c r="FC130"/>
      <c r="FD130"/>
      <c r="FE130"/>
      <c r="FF130"/>
    </row>
    <row r="131" spans="1:162" s="4" customFormat="1" hidden="1" x14ac:dyDescent="0.25">
      <c r="C131" s="322" t="s">
        <v>122</v>
      </c>
      <c r="D131" s="323"/>
      <c r="E131" s="323"/>
      <c r="F131" s="323"/>
      <c r="G131" s="323"/>
      <c r="H131" s="147">
        <f ca="1">IF(E11=A75,IF(E19=BA115,1,0),0)</f>
        <v>0</v>
      </c>
      <c r="I131" s="155"/>
      <c r="J131" s="154"/>
      <c r="K131" s="66"/>
      <c r="BI131" s="1"/>
      <c r="BJ131" s="15"/>
      <c r="BK131" s="15"/>
      <c r="BL131" s="15"/>
      <c r="BM131" s="15"/>
      <c r="BN131" s="15"/>
      <c r="BO131" s="15"/>
      <c r="BP131" s="15"/>
      <c r="BQ131" s="15"/>
      <c r="ES131" s="160" t="str">
        <f>""</f>
        <v/>
      </c>
      <c r="ET131" s="238"/>
      <c r="EU131" s="238"/>
      <c r="EV131" s="240"/>
      <c r="EW131" s="136" t="str">
        <f ca="1"/>
        <v>KS Recess</v>
      </c>
      <c r="EX131" s="127" t="s">
        <v>103</v>
      </c>
      <c r="EY131" s="127" t="s">
        <v>188</v>
      </c>
      <c r="EZ131" s="129"/>
      <c r="FA131" s="20"/>
      <c r="FC131"/>
      <c r="FD131"/>
      <c r="FE131"/>
      <c r="FF131"/>
    </row>
    <row r="132" spans="1:162" s="4" customFormat="1" hidden="1" x14ac:dyDescent="0.25">
      <c r="A132" s="11"/>
      <c r="C132" s="322" t="s">
        <v>120</v>
      </c>
      <c r="D132" s="323"/>
      <c r="E132" s="323"/>
      <c r="F132" s="323"/>
      <c r="G132" s="323"/>
      <c r="H132" s="147">
        <f ca="1">IF(E11=A75,IF(E23&lt;(0-(AL115-(BA56+BC56))),1,0),0)</f>
        <v>0</v>
      </c>
      <c r="I132" s="155"/>
      <c r="J132" s="154"/>
      <c r="K132" s="66"/>
      <c r="BI132" s="1"/>
      <c r="BJ132" s="15"/>
      <c r="BK132" s="15"/>
      <c r="BL132" s="15"/>
      <c r="BM132" s="15"/>
      <c r="BN132" s="15"/>
      <c r="BO132" s="15"/>
      <c r="BP132" s="15"/>
      <c r="BQ132" s="15"/>
      <c r="ES132" s="160" t="str">
        <f>""</f>
        <v/>
      </c>
      <c r="ET132" s="238"/>
      <c r="EU132" s="238"/>
      <c r="EV132" s="240"/>
      <c r="EW132" s="136" t="str">
        <f ca="1"/>
        <v>CS</v>
      </c>
      <c r="EX132" s="127" t="s">
        <v>67</v>
      </c>
      <c r="EY132" s="127" t="s">
        <v>67</v>
      </c>
      <c r="EZ132" s="129"/>
      <c r="FA132" s="20"/>
      <c r="FC132"/>
      <c r="FD132"/>
      <c r="FE132"/>
      <c r="FF132"/>
    </row>
    <row r="133" spans="1:162" s="4" customFormat="1" hidden="1" x14ac:dyDescent="0.25">
      <c r="A133" s="11"/>
      <c r="C133" s="322" t="s">
        <v>121</v>
      </c>
      <c r="D133" s="323"/>
      <c r="E133" s="323"/>
      <c r="F133" s="323"/>
      <c r="G133" s="323"/>
      <c r="H133" s="147">
        <f ca="1">IF(E11=A75,IF(E23&gt;(AL115-(BA56+BC56)),1,0),0)</f>
        <v>0</v>
      </c>
      <c r="I133" s="154"/>
      <c r="J133" s="154"/>
      <c r="K133" s="66"/>
      <c r="BI133" s="1"/>
      <c r="BJ133" s="15"/>
      <c r="BK133" s="15"/>
      <c r="BL133" s="15"/>
      <c r="BM133" s="15"/>
      <c r="BN133" s="15"/>
      <c r="BO133" s="15"/>
      <c r="BP133" s="15"/>
      <c r="BQ133" s="15"/>
      <c r="ES133" s="160" t="str">
        <f>""</f>
        <v/>
      </c>
      <c r="ET133" s="238"/>
      <c r="EU133" s="238"/>
      <c r="EV133" s="240"/>
      <c r="EW133" s="136" t="str">
        <f ca="1"/>
        <v>DS</v>
      </c>
      <c r="EX133" s="127" t="s">
        <v>37</v>
      </c>
      <c r="EY133" s="127" t="s">
        <v>37</v>
      </c>
      <c r="EZ133" s="129"/>
      <c r="FA133" s="20"/>
      <c r="FC133"/>
      <c r="FD133"/>
      <c r="FE133"/>
      <c r="FF133"/>
    </row>
    <row r="134" spans="1:162" s="4" customFormat="1" hidden="1" x14ac:dyDescent="0.25">
      <c r="A134" s="11"/>
      <c r="C134" s="252" t="s">
        <v>228</v>
      </c>
      <c r="D134" s="250"/>
      <c r="E134" s="250"/>
      <c r="F134" s="250"/>
      <c r="G134" s="250"/>
      <c r="H134" s="13">
        <f ca="1">IF(ISERROR(P134),1,0)</f>
        <v>0</v>
      </c>
      <c r="I134" s="154"/>
      <c r="J134" s="154"/>
      <c r="K134" s="66"/>
      <c r="L134" s="250" t="s">
        <v>254</v>
      </c>
      <c r="M134" s="250"/>
      <c r="N134" s="250"/>
      <c r="O134" s="250"/>
      <c r="P134" s="326" t="str">
        <f ca="1">VLOOKUP(E11,EW66:EW145,1,FALSE)</f>
        <v>FMS (Shuttle)</v>
      </c>
      <c r="Q134" s="262"/>
      <c r="R134" s="262"/>
      <c r="S134" s="262"/>
      <c r="T134" s="262"/>
      <c r="BI134" s="1"/>
      <c r="BJ134" s="15"/>
      <c r="BK134" s="15"/>
      <c r="BL134" s="15"/>
      <c r="BM134" s="15"/>
      <c r="BN134" s="15"/>
      <c r="BO134" s="15"/>
      <c r="BP134" s="15"/>
      <c r="BQ134" s="15"/>
      <c r="ES134" s="160" t="str">
        <f>""</f>
        <v/>
      </c>
      <c r="ET134" s="238"/>
      <c r="EU134" s="238"/>
      <c r="EV134" s="240"/>
      <c r="EW134" s="136" t="str">
        <f ca="1"/>
        <v>DS-XL</v>
      </c>
      <c r="EX134" s="127" t="s">
        <v>68</v>
      </c>
      <c r="EY134" s="127" t="s">
        <v>68</v>
      </c>
      <c r="EZ134" s="129"/>
      <c r="FA134" s="20"/>
      <c r="FC134"/>
      <c r="FD134"/>
      <c r="FE134"/>
      <c r="FF134"/>
    </row>
    <row r="135" spans="1:162" s="4" customFormat="1" hidden="1" x14ac:dyDescent="0.25">
      <c r="A135" s="11"/>
      <c r="C135" s="252" t="s">
        <v>229</v>
      </c>
      <c r="D135" s="250"/>
      <c r="E135" s="250"/>
      <c r="F135" s="250"/>
      <c r="G135" s="250"/>
      <c r="H135" s="13">
        <f ca="1">IF(ISERROR(P135),1,0)</f>
        <v>0</v>
      </c>
      <c r="I135" s="154"/>
      <c r="J135" s="154"/>
      <c r="K135" s="66"/>
      <c r="L135" s="250" t="s">
        <v>231</v>
      </c>
      <c r="M135" s="250"/>
      <c r="N135" s="250"/>
      <c r="O135" s="250"/>
      <c r="P135" s="326" t="str">
        <f ca="1">VLOOKUP(E19,EW66:EW145,1,FALSE)</f>
        <v>One-way draw</v>
      </c>
      <c r="Q135" s="262"/>
      <c r="R135" s="262"/>
      <c r="S135" s="262"/>
      <c r="T135" s="262"/>
      <c r="BJ135" s="15"/>
      <c r="BN135" s="12"/>
      <c r="BQ135" s="15"/>
      <c r="ES135" s="160" t="str">
        <f>""</f>
        <v/>
      </c>
      <c r="ET135" s="238"/>
      <c r="EU135" s="238"/>
      <c r="EV135" s="240"/>
      <c r="EW135" s="136" t="str">
        <f ca="1"/>
        <v>DS-XL Motorised</v>
      </c>
      <c r="EX135" s="127" t="s">
        <v>106</v>
      </c>
      <c r="EY135" s="127" t="s">
        <v>189</v>
      </c>
      <c r="EZ135" s="129"/>
      <c r="FA135" s="20"/>
      <c r="FC135"/>
      <c r="FD135"/>
      <c r="FE135"/>
      <c r="FF135"/>
    </row>
    <row r="136" spans="1:162" s="4" customFormat="1" hidden="1" x14ac:dyDescent="0.25">
      <c r="A136" s="11"/>
      <c r="C136" s="252" t="s">
        <v>230</v>
      </c>
      <c r="D136" s="250"/>
      <c r="E136" s="250"/>
      <c r="F136" s="250"/>
      <c r="G136" s="250"/>
      <c r="H136" s="13">
        <f ca="1">IF(R56=1,IF(ISERROR(P136),1,0),0)</f>
        <v>0</v>
      </c>
      <c r="I136" s="154"/>
      <c r="J136" s="154"/>
      <c r="K136" s="66"/>
      <c r="L136" s="250" t="s">
        <v>232</v>
      </c>
      <c r="M136" s="250"/>
      <c r="N136" s="250"/>
      <c r="O136" s="250"/>
      <c r="P136" s="326" t="str">
        <f ca="1">VLOOKUP(E21,EW66:EW145,1,FALSE)</f>
        <v>Plastic</v>
      </c>
      <c r="Q136" s="262"/>
      <c r="R136" s="262"/>
      <c r="S136" s="262"/>
      <c r="T136" s="262"/>
      <c r="BQ136" s="15"/>
      <c r="ES136" s="160" t="str">
        <f>""</f>
        <v/>
      </c>
      <c r="ET136" s="238"/>
      <c r="EU136" s="238"/>
      <c r="EV136" s="240"/>
      <c r="EW136" s="136" t="str">
        <f ca="1"/>
        <v>DS-XL Corded</v>
      </c>
      <c r="EX136" s="127" t="s">
        <v>107</v>
      </c>
      <c r="EY136" s="127" t="s">
        <v>190</v>
      </c>
      <c r="EZ136" s="129"/>
      <c r="FA136" s="20"/>
      <c r="FC136"/>
      <c r="FD136"/>
      <c r="FE136"/>
      <c r="FF136"/>
    </row>
    <row r="137" spans="1:162" s="4" customFormat="1" hidden="1" x14ac:dyDescent="0.25">
      <c r="A137" s="11"/>
      <c r="C137" s="252" t="s">
        <v>285</v>
      </c>
      <c r="D137" s="250"/>
      <c r="E137" s="250"/>
      <c r="F137" s="250"/>
      <c r="G137" s="250"/>
      <c r="H137" s="13">
        <f>IF(ISERROR(P137),1,0)</f>
        <v>0</v>
      </c>
      <c r="I137" s="154"/>
      <c r="J137" s="154"/>
      <c r="K137" s="66"/>
      <c r="L137" s="250" t="s">
        <v>286</v>
      </c>
      <c r="M137" s="250"/>
      <c r="N137" s="250"/>
      <c r="O137" s="250"/>
      <c r="P137" s="326" t="str">
        <f>VLOOKUP(E17,BA112:BC114,1,FALSE)</f>
        <v>8 cm (60%)</v>
      </c>
      <c r="Q137" s="262"/>
      <c r="R137" s="262"/>
      <c r="S137" s="262"/>
      <c r="T137" s="262"/>
      <c r="BQ137" s="15"/>
      <c r="ES137" s="160" t="str">
        <f>""</f>
        <v/>
      </c>
      <c r="ET137" s="238"/>
      <c r="EU137" s="238"/>
      <c r="EV137" s="240"/>
      <c r="EW137" s="136" t="str">
        <f ca="1"/>
        <v>DS-XL LED</v>
      </c>
      <c r="EX137" s="127" t="s">
        <v>69</v>
      </c>
      <c r="EY137" s="127" t="s">
        <v>69</v>
      </c>
      <c r="EZ137" s="129"/>
      <c r="FA137" s="20"/>
      <c r="FC137"/>
      <c r="FD137"/>
      <c r="FE137"/>
      <c r="FF137"/>
    </row>
    <row r="138" spans="1:162" s="4" customFormat="1" hidden="1" x14ac:dyDescent="0.25">
      <c r="C138" s="322" t="s">
        <v>267</v>
      </c>
      <c r="D138" s="323"/>
      <c r="E138" s="323"/>
      <c r="F138" s="323"/>
      <c r="G138" s="323"/>
      <c r="H138" s="147">
        <f>IF(AP112="",1,0)</f>
        <v>0</v>
      </c>
      <c r="I138" s="155"/>
      <c r="J138" s="154"/>
      <c r="K138" s="66"/>
      <c r="S138" s="1"/>
      <c r="BQ138" s="15"/>
      <c r="ES138" s="160" t="str">
        <f>""</f>
        <v/>
      </c>
      <c r="ET138" s="238"/>
      <c r="EU138" s="238"/>
      <c r="EV138" s="240"/>
      <c r="EW138" s="136" t="str">
        <f ca="1"/>
        <v>DS-XL LED Motorised</v>
      </c>
      <c r="EX138" s="127" t="s">
        <v>108</v>
      </c>
      <c r="EY138" s="127" t="s">
        <v>191</v>
      </c>
      <c r="EZ138" s="129"/>
      <c r="FA138" s="20"/>
      <c r="FC138"/>
      <c r="FD138"/>
      <c r="FE138"/>
      <c r="FF138"/>
    </row>
    <row r="139" spans="1:162" s="4" customFormat="1" ht="15.75" hidden="1" thickBot="1" x14ac:dyDescent="0.3">
      <c r="C139" s="327" t="s">
        <v>287</v>
      </c>
      <c r="D139" s="324"/>
      <c r="E139" s="324"/>
      <c r="F139" s="324"/>
      <c r="G139" s="324"/>
      <c r="H139" s="171"/>
      <c r="I139" s="158"/>
      <c r="J139" s="170"/>
      <c r="K139" s="10">
        <f>IF(AP112=BA118,IF(AQ114=BE117,0,IF(E13-ROUNDDOWN(E13,0)=0,0,1)),0)</f>
        <v>0</v>
      </c>
      <c r="S139" s="1"/>
      <c r="ES139" s="160" t="str">
        <f>""</f>
        <v/>
      </c>
      <c r="ET139" s="238"/>
      <c r="EU139" s="238"/>
      <c r="EV139" s="240"/>
      <c r="EW139" s="136" t="str">
        <f ca="1"/>
        <v>FMS Dual</v>
      </c>
      <c r="EX139" s="127" t="s">
        <v>34</v>
      </c>
      <c r="EY139" s="127" t="s">
        <v>34</v>
      </c>
      <c r="EZ139" s="129"/>
      <c r="FA139" s="20"/>
      <c r="FC139"/>
      <c r="FD139"/>
      <c r="FE139"/>
      <c r="FF139"/>
    </row>
    <row r="140" spans="1:162" s="4" customFormat="1" hidden="1" x14ac:dyDescent="0.25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69"/>
      <c r="N140" s="69"/>
      <c r="O140" s="69"/>
      <c r="P140" s="69"/>
      <c r="Q140" s="69"/>
      <c r="S140" s="1"/>
      <c r="ES140" s="160" t="str">
        <f>""</f>
        <v/>
      </c>
      <c r="ET140" s="238"/>
      <c r="EU140" s="238"/>
      <c r="EV140" s="240"/>
      <c r="EW140" s="136" t="str">
        <f ca="1"/>
        <v>MRS Universal</v>
      </c>
      <c r="EX140" s="127" t="s">
        <v>97</v>
      </c>
      <c r="EY140" s="127" t="s">
        <v>192</v>
      </c>
      <c r="EZ140" s="129"/>
      <c r="FA140" s="20"/>
      <c r="FC140"/>
      <c r="FD140"/>
      <c r="FE140"/>
      <c r="FF140"/>
    </row>
    <row r="141" spans="1:162" s="4" customFormat="1" hidden="1" x14ac:dyDescent="0.25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ES141" s="160" t="str">
        <f>""</f>
        <v/>
      </c>
      <c r="ET141" s="238"/>
      <c r="EU141" s="238"/>
      <c r="EV141" s="240"/>
      <c r="EW141" s="136" t="str">
        <f ca="1"/>
        <v>CS Recess</v>
      </c>
      <c r="EX141" s="127" t="s">
        <v>102</v>
      </c>
      <c r="EY141" s="127" t="s">
        <v>193</v>
      </c>
      <c r="EZ141" s="129"/>
      <c r="FA141" s="20"/>
    </row>
    <row r="142" spans="1:162" s="4" customFormat="1" hidden="1" x14ac:dyDescent="0.25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ES142" s="160" t="str">
        <f>""</f>
        <v/>
      </c>
      <c r="ET142" s="238"/>
      <c r="EU142" s="238"/>
      <c r="EV142" s="240"/>
      <c r="EW142" s="136" t="str">
        <f ca="1"/>
        <v>CRS Square 30</v>
      </c>
      <c r="EX142" s="127" t="s">
        <v>256</v>
      </c>
      <c r="EY142" s="127" t="s">
        <v>256</v>
      </c>
      <c r="EZ142" s="129"/>
      <c r="FA142" s="20"/>
    </row>
    <row r="143" spans="1:162" s="4" customFormat="1" hidden="1" x14ac:dyDescent="0.25">
      <c r="A143" s="110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ES143" s="160" t="str">
        <f>""</f>
        <v/>
      </c>
      <c r="ET143" s="238"/>
      <c r="EU143" s="238"/>
      <c r="EV143" s="240"/>
      <c r="EW143" s="165" t="str">
        <f ca="1"/>
        <v>CRS Rectangular 45</v>
      </c>
      <c r="EX143" s="166" t="s">
        <v>255</v>
      </c>
      <c r="EY143" s="166" t="s">
        <v>255</v>
      </c>
      <c r="EZ143" s="144"/>
      <c r="FA143" s="121"/>
    </row>
    <row r="144" spans="1:162" s="4" customFormat="1" hidden="1" x14ac:dyDescent="0.25">
      <c r="A144" s="110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ES144" s="160" t="str">
        <f>""</f>
        <v/>
      </c>
      <c r="EW144" s="172" t="str">
        <f ca="1"/>
        <v>&gt;&gt; Asymmetrical curtain &lt;&lt;</v>
      </c>
      <c r="EX144" s="173" t="s">
        <v>283</v>
      </c>
      <c r="EY144" s="173" t="s">
        <v>284</v>
      </c>
      <c r="EZ144" s="174"/>
      <c r="FA144" s="123"/>
    </row>
    <row r="145" spans="1:157" s="4" customFormat="1" hidden="1" x14ac:dyDescent="0.25">
      <c r="E145" s="98"/>
      <c r="F145" s="98"/>
      <c r="G145" s="98"/>
      <c r="H145" s="98"/>
      <c r="I145" s="98"/>
      <c r="J145" s="98"/>
      <c r="ES145" s="160" t="str">
        <f>""</f>
        <v/>
      </c>
      <c r="EW145" s="136" t="str">
        <f ca="1"/>
        <v>Values ​​are added together</v>
      </c>
      <c r="EX145" s="127" t="s">
        <v>290</v>
      </c>
      <c r="EY145" s="127" t="s">
        <v>289</v>
      </c>
      <c r="EZ145" s="129"/>
      <c r="FA145" s="20"/>
    </row>
    <row r="146" spans="1:157" s="4" customFormat="1" hidden="1" x14ac:dyDescent="0.25">
      <c r="ES146" s="160" t="str">
        <f>""</f>
        <v/>
      </c>
      <c r="ET146" s="239" t="s">
        <v>351</v>
      </c>
      <c r="EU146" s="239"/>
      <c r="EV146" s="239"/>
      <c r="EW146" s="225">
        <f ca="1"/>
        <v>0</v>
      </c>
      <c r="EX146" s="221"/>
      <c r="EY146" s="221"/>
      <c r="EZ146" s="221"/>
      <c r="FA146" s="222"/>
    </row>
    <row r="147" spans="1:157" s="4" customFormat="1" hidden="1" x14ac:dyDescent="0.25">
      <c r="A147" s="100"/>
      <c r="B147" s="100"/>
      <c r="C147" s="100"/>
      <c r="D147" s="100"/>
      <c r="E147" s="69"/>
      <c r="ES147" s="160" t="str">
        <f>""</f>
        <v/>
      </c>
      <c r="ET147" s="239"/>
      <c r="EU147" s="239"/>
      <c r="EV147" s="239"/>
      <c r="EW147" s="226">
        <f ca="1"/>
        <v>0</v>
      </c>
      <c r="EX147" s="223"/>
      <c r="EY147" s="223"/>
      <c r="EZ147" s="223"/>
      <c r="FA147" s="224"/>
    </row>
    <row r="148" spans="1:157" s="4" customFormat="1" hidden="1" x14ac:dyDescent="0.25">
      <c r="A148" s="11"/>
      <c r="B148" s="11"/>
      <c r="C148" s="11"/>
      <c r="D148" s="11"/>
      <c r="E148" s="48"/>
      <c r="F148" s="11"/>
      <c r="ES148" s="160" t="str">
        <f>""</f>
        <v/>
      </c>
      <c r="ET148" s="250" t="s">
        <v>348</v>
      </c>
      <c r="EU148" s="250"/>
      <c r="EV148" s="250"/>
      <c r="EW148" s="135" t="str">
        <f ca="1"/>
        <v>Mobile</v>
      </c>
      <c r="EX148" s="117" t="s">
        <v>349</v>
      </c>
      <c r="EY148" s="118" t="s">
        <v>350</v>
      </c>
      <c r="EZ148" s="118"/>
      <c r="FA148" s="123"/>
    </row>
    <row r="149" spans="1:157" s="4" customFormat="1" hidden="1" x14ac:dyDescent="0.25">
      <c r="A149" s="11"/>
      <c r="B149" s="11"/>
      <c r="I149" s="1"/>
      <c r="L149" s="11"/>
      <c r="ES149" s="160" t="str">
        <f>""</f>
        <v/>
      </c>
      <c r="ET149" s="238" t="s">
        <v>182</v>
      </c>
      <c r="EU149" s="238"/>
      <c r="EV149" s="238"/>
      <c r="EW149" s="132" t="str">
        <f ca="1"/>
        <v>Track type</v>
      </c>
      <c r="EX149" s="7" t="s">
        <v>352</v>
      </c>
      <c r="EY149" s="13" t="s">
        <v>293</v>
      </c>
      <c r="EZ149" s="13"/>
      <c r="FA149" s="20"/>
    </row>
    <row r="150" spans="1:157" s="4" customFormat="1" hidden="1" x14ac:dyDescent="0.25">
      <c r="A150" s="11"/>
      <c r="E150" s="97"/>
      <c r="F150" s="99"/>
      <c r="I150" s="1"/>
      <c r="ES150" s="160" t="str">
        <f>""</f>
        <v/>
      </c>
      <c r="ET150" s="238"/>
      <c r="EU150" s="238"/>
      <c r="EV150" s="238"/>
      <c r="EW150" s="134" t="str">
        <f ca="1"/>
        <v>Track size</v>
      </c>
      <c r="EX150" s="233" t="s">
        <v>353</v>
      </c>
      <c r="EY150" s="234" t="s">
        <v>294</v>
      </c>
      <c r="EZ150" s="128"/>
      <c r="FA150" s="112"/>
    </row>
    <row r="151" spans="1:157" s="4" customFormat="1" hidden="1" x14ac:dyDescent="0.25">
      <c r="A151" s="100"/>
      <c r="B151" s="100"/>
      <c r="C151" s="100"/>
      <c r="D151" s="100"/>
      <c r="E151" s="100"/>
      <c r="F151" s="101"/>
      <c r="I151" s="1"/>
      <c r="ES151" s="160" t="str">
        <f>""</f>
        <v/>
      </c>
      <c r="ET151" s="238"/>
      <c r="EU151" s="238"/>
      <c r="EV151" s="238"/>
      <c r="EW151" s="133" t="str">
        <f ca="1"/>
        <v>in cm</v>
      </c>
      <c r="EX151" s="235" t="s">
        <v>354</v>
      </c>
      <c r="EY151" s="236" t="s">
        <v>354</v>
      </c>
      <c r="EZ151" s="144"/>
      <c r="FA151" s="115"/>
    </row>
    <row r="152" spans="1:157" s="1" customFormat="1" ht="15" hidden="1" customHeight="1" x14ac:dyDescent="0.25">
      <c r="A152" s="35"/>
      <c r="B152" s="102"/>
      <c r="C152" s="102"/>
      <c r="D152" s="102"/>
      <c r="E152" s="12"/>
      <c r="F152" s="103"/>
      <c r="G152" s="4"/>
      <c r="H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ES152" s="160" t="str">
        <f>""</f>
        <v/>
      </c>
      <c r="ET152" s="238"/>
      <c r="EU152" s="238"/>
      <c r="EV152" s="238"/>
      <c r="EW152" s="132" t="str">
        <f ca="1"/>
        <v>Easyflex &lt;&gt;</v>
      </c>
      <c r="EX152" s="7" t="s">
        <v>355</v>
      </c>
      <c r="EY152" s="13" t="s">
        <v>355</v>
      </c>
      <c r="EZ152" s="13"/>
      <c r="FA152" s="20"/>
    </row>
    <row r="153" spans="1:157" s="1" customFormat="1" hidden="1" x14ac:dyDescent="0.25">
      <c r="A153" s="104"/>
      <c r="B153" s="102"/>
      <c r="C153" s="102"/>
      <c r="D153" s="102"/>
      <c r="E153" s="4"/>
      <c r="F153" s="103"/>
      <c r="G153" s="4"/>
      <c r="H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S153" s="15"/>
      <c r="ES153" s="160" t="str">
        <f>""</f>
        <v/>
      </c>
      <c r="ET153" s="238"/>
      <c r="EU153" s="238"/>
      <c r="EV153" s="238"/>
      <c r="EW153" s="133" t="str">
        <f ca="1"/>
        <v>Easywave</v>
      </c>
      <c r="EX153" s="114" t="s">
        <v>0</v>
      </c>
      <c r="EY153" s="116" t="s">
        <v>0</v>
      </c>
      <c r="EZ153" s="116"/>
      <c r="FA153" s="121"/>
    </row>
    <row r="154" spans="1:157" s="1" customFormat="1" hidden="1" x14ac:dyDescent="0.25">
      <c r="A154" s="104"/>
      <c r="B154" s="102"/>
      <c r="C154" s="102"/>
      <c r="D154" s="102"/>
      <c r="E154" s="4"/>
      <c r="F154" s="4"/>
      <c r="H154" s="4"/>
      <c r="M154" s="4"/>
      <c r="N154" s="4"/>
      <c r="O154" s="4"/>
      <c r="Q154" s="4"/>
      <c r="X154" s="102"/>
      <c r="Y154" s="102"/>
      <c r="BR154" s="15"/>
      <c r="BS154" s="15"/>
      <c r="ES154" s="160" t="str">
        <f>""</f>
        <v/>
      </c>
      <c r="ET154" s="238"/>
      <c r="EU154" s="238"/>
      <c r="EV154" s="238"/>
      <c r="EW154" s="134" t="str">
        <f ca="1"/>
        <v>Carrier</v>
      </c>
      <c r="EX154" s="111" t="s">
        <v>356</v>
      </c>
      <c r="EY154" s="113" t="s">
        <v>357</v>
      </c>
      <c r="EZ154" s="113"/>
      <c r="FA154" s="122"/>
    </row>
    <row r="155" spans="1:157" s="1" customFormat="1" hidden="1" x14ac:dyDescent="0.25">
      <c r="A155" s="104"/>
      <c r="B155" s="102"/>
      <c r="C155" s="102"/>
      <c r="D155" s="102"/>
      <c r="E155" s="4"/>
      <c r="F155" s="4"/>
      <c r="H155" s="105"/>
      <c r="M155" s="4"/>
      <c r="N155" s="4"/>
      <c r="O155" s="4"/>
      <c r="Q155" s="4"/>
      <c r="AZ155" s="5"/>
      <c r="BB155" s="15"/>
      <c r="BC155" s="15"/>
      <c r="BF155" s="15"/>
      <c r="BG155" s="15"/>
      <c r="BJ155" s="15"/>
      <c r="BK155" s="15"/>
      <c r="BM155" s="106"/>
      <c r="BN155" s="15"/>
      <c r="BO155" s="15"/>
      <c r="BP155" s="15"/>
      <c r="BQ155" s="15"/>
      <c r="BR155" s="15"/>
      <c r="BS155" s="15"/>
      <c r="ES155" s="160" t="str">
        <f>""</f>
        <v/>
      </c>
      <c r="ET155" s="238"/>
      <c r="EU155" s="238"/>
      <c r="EV155" s="238"/>
      <c r="EW155" s="133" t="str">
        <f ca="1"/>
        <v>Distance</v>
      </c>
      <c r="EX155" s="114" t="s">
        <v>358</v>
      </c>
      <c r="EY155" s="116" t="s">
        <v>359</v>
      </c>
      <c r="EZ155" s="116"/>
      <c r="FA155" s="121"/>
    </row>
    <row r="156" spans="1:157" s="1" customFormat="1" hidden="1" x14ac:dyDescent="0.25">
      <c r="H156" s="69"/>
      <c r="M156" s="4"/>
      <c r="N156" s="4"/>
      <c r="O156" s="4"/>
      <c r="Q156" s="4"/>
      <c r="AZ156" s="5"/>
      <c r="BB156" s="15"/>
      <c r="BC156" s="15"/>
      <c r="BF156" s="15"/>
      <c r="BG156" s="15"/>
      <c r="BJ156" s="15"/>
      <c r="BK156" s="15"/>
      <c r="BL156" s="107"/>
      <c r="BM156" s="107"/>
      <c r="BN156" s="15"/>
      <c r="BO156" s="15"/>
      <c r="BR156" s="15"/>
      <c r="BS156" s="15"/>
      <c r="ES156" s="160" t="str">
        <f>""</f>
        <v/>
      </c>
      <c r="ET156" s="238"/>
      <c r="EU156" s="238"/>
      <c r="EV156" s="238"/>
      <c r="EW156" s="134" t="str">
        <f ca="1"/>
        <v>One-way draw &lt;&gt;</v>
      </c>
      <c r="EX156" s="113" t="str">
        <f>EX176 &amp; " &lt;&gt;"</f>
        <v>One-way draw &lt;&gt;</v>
      </c>
      <c r="EY156" s="113" t="str">
        <f>EY176 &amp; " &lt;&gt;"</f>
        <v>Enkelpakket &lt;&gt;</v>
      </c>
      <c r="EZ156" s="113"/>
      <c r="FA156" s="122"/>
    </row>
    <row r="157" spans="1:157" s="1" customFormat="1" hidden="1" x14ac:dyDescent="0.25">
      <c r="H157" s="69"/>
      <c r="M157" s="4"/>
      <c r="N157" s="4"/>
      <c r="O157" s="4"/>
      <c r="Q157" s="4"/>
      <c r="AZ157" s="5"/>
      <c r="BB157" s="15"/>
      <c r="BC157" s="15"/>
      <c r="BF157" s="15"/>
      <c r="BG157" s="15"/>
      <c r="BJ157" s="15"/>
      <c r="BK157" s="15"/>
      <c r="BN157" s="15"/>
      <c r="BO157" s="15"/>
      <c r="BR157" s="15"/>
      <c r="BS157" s="15"/>
      <c r="ES157" s="160" t="str">
        <f>""</f>
        <v/>
      </c>
      <c r="ET157" s="238"/>
      <c r="EU157" s="238"/>
      <c r="EV157" s="238"/>
      <c r="EW157" s="133" t="str">
        <f ca="1"/>
        <v>Center closing</v>
      </c>
      <c r="EX157" s="116" t="str">
        <f>EX175</f>
        <v>Center closing</v>
      </c>
      <c r="EY157" s="116" t="str">
        <f>EY175</f>
        <v>Middensluitend</v>
      </c>
      <c r="EZ157" s="116"/>
      <c r="FA157" s="121"/>
    </row>
    <row r="158" spans="1:157" s="1" customFormat="1" hidden="1" x14ac:dyDescent="0.25">
      <c r="G158" s="108"/>
      <c r="H158" s="69"/>
      <c r="M158" s="4"/>
      <c r="N158" s="4"/>
      <c r="O158" s="4"/>
      <c r="Q158" s="4"/>
      <c r="AZ158" s="5"/>
      <c r="BB158" s="15"/>
      <c r="BC158" s="15"/>
      <c r="BF158" s="15"/>
      <c r="BG158" s="15"/>
      <c r="BJ158" s="15"/>
      <c r="BK158" s="15"/>
      <c r="BN158" s="15"/>
      <c r="BO158" s="15"/>
      <c r="BR158" s="15"/>
      <c r="BS158" s="15"/>
      <c r="ES158" s="160" t="str">
        <f>""</f>
        <v/>
      </c>
      <c r="ET158" s="238"/>
      <c r="EU158" s="238"/>
      <c r="EV158" s="238"/>
      <c r="EW158" s="134" t="str">
        <f ca="1"/>
        <v>Master type:</v>
      </c>
      <c r="EX158" s="111" t="s">
        <v>153</v>
      </c>
      <c r="EY158" s="113" t="s">
        <v>360</v>
      </c>
      <c r="EZ158" s="113"/>
      <c r="FA158" s="122"/>
    </row>
    <row r="159" spans="1:157" s="1" customFormat="1" ht="15" hidden="1" customHeight="1" x14ac:dyDescent="0.25">
      <c r="G159" s="108"/>
      <c r="H159" s="69"/>
      <c r="M159" s="4"/>
      <c r="N159" s="4"/>
      <c r="O159" s="4"/>
      <c r="Q159" s="4"/>
      <c r="AZ159" s="5"/>
      <c r="BB159" s="15"/>
      <c r="BC159" s="15"/>
      <c r="BF159" s="15"/>
      <c r="BG159" s="15"/>
      <c r="BJ159" s="15"/>
      <c r="BK159" s="15"/>
      <c r="BN159" s="15"/>
      <c r="BO159" s="15"/>
      <c r="BR159" s="15"/>
      <c r="BS159" s="15"/>
      <c r="ES159" s="160" t="str">
        <f>""</f>
        <v/>
      </c>
      <c r="ET159" s="238"/>
      <c r="EU159" s="238"/>
      <c r="EV159" s="238"/>
      <c r="EW159" s="133" t="str">
        <f ca="1"/>
        <v>Steel / Plastic</v>
      </c>
      <c r="EX159" s="116" t="str">
        <f>EX177&amp; " / " &amp;EX178</f>
        <v>Steel / Plastic</v>
      </c>
      <c r="EY159" s="116" t="str">
        <f>EY177&amp; " / " &amp;EY178</f>
        <v>Staal / Kunststof</v>
      </c>
      <c r="EZ159" s="116"/>
      <c r="FA159" s="121"/>
    </row>
    <row r="160" spans="1:157" s="1" customFormat="1" hidden="1" x14ac:dyDescent="0.25">
      <c r="G160" s="108"/>
      <c r="H160" s="69"/>
      <c r="M160" s="4"/>
      <c r="N160" s="4"/>
      <c r="O160" s="4"/>
      <c r="Q160" s="4"/>
      <c r="AZ160" s="5"/>
      <c r="BB160" s="15"/>
      <c r="BC160" s="15"/>
      <c r="BF160" s="15"/>
      <c r="BG160" s="15"/>
      <c r="BJ160" s="15"/>
      <c r="BK160" s="15"/>
      <c r="BN160" s="15"/>
      <c r="BO160" s="15"/>
      <c r="BR160" s="15"/>
      <c r="BS160" s="15"/>
      <c r="ES160" s="160" t="str">
        <f>""</f>
        <v/>
      </c>
      <c r="ET160" s="238"/>
      <c r="EU160" s="238"/>
      <c r="EV160" s="238"/>
      <c r="EW160" s="134" t="str">
        <f ca="1"/>
        <v>Distance overlap</v>
      </c>
      <c r="EX160" s="111" t="s">
        <v>251</v>
      </c>
      <c r="EY160" s="128" t="s">
        <v>253</v>
      </c>
      <c r="EZ160" s="113"/>
      <c r="FA160" s="122"/>
    </row>
    <row r="161" spans="1:158" s="1" customFormat="1" hidden="1" x14ac:dyDescent="0.25">
      <c r="H161" s="69"/>
      <c r="M161" s="4"/>
      <c r="N161" s="4"/>
      <c r="O161" s="4"/>
      <c r="Q161" s="4"/>
      <c r="AZ161" s="5"/>
      <c r="BB161" s="15"/>
      <c r="BC161" s="15"/>
      <c r="BF161" s="15"/>
      <c r="BG161" s="15"/>
      <c r="BJ161" s="15"/>
      <c r="BK161" s="15"/>
      <c r="BN161" s="15"/>
      <c r="BO161" s="15"/>
      <c r="BR161" s="15"/>
      <c r="BS161" s="15"/>
      <c r="ES161" s="160" t="str">
        <f>""</f>
        <v/>
      </c>
      <c r="ET161" s="238"/>
      <c r="EU161" s="238"/>
      <c r="EV161" s="238"/>
      <c r="EW161" s="133" t="str">
        <f ca="1"/>
        <v>in cm</v>
      </c>
      <c r="EX161" s="120" t="s">
        <v>354</v>
      </c>
      <c r="EY161" s="143" t="s">
        <v>354</v>
      </c>
      <c r="EZ161" s="116"/>
      <c r="FA161" s="121"/>
    </row>
    <row r="162" spans="1:158" s="1" customFormat="1" hidden="1" x14ac:dyDescent="0.25">
      <c r="H162" s="69"/>
      <c r="M162" s="4"/>
      <c r="N162" s="4"/>
      <c r="O162" s="4"/>
      <c r="Q162" s="4"/>
      <c r="AZ162" s="5"/>
      <c r="BB162" s="15"/>
      <c r="BC162" s="15"/>
      <c r="BF162" s="15"/>
      <c r="BG162" s="15"/>
      <c r="BJ162" s="15"/>
      <c r="BK162" s="15"/>
      <c r="BN162" s="15"/>
      <c r="BO162" s="15"/>
      <c r="BR162" s="15"/>
      <c r="ES162" s="160" t="str">
        <f>""</f>
        <v/>
      </c>
      <c r="ET162" s="238" t="s">
        <v>184</v>
      </c>
      <c r="EU162" s="238"/>
      <c r="EV162" s="238"/>
      <c r="EW162" s="134" t="str">
        <f ca="1"/>
        <v>Number of hooks</v>
      </c>
      <c r="EX162" s="111" t="s">
        <v>162</v>
      </c>
      <c r="EY162" s="113" t="s">
        <v>205</v>
      </c>
      <c r="EZ162" s="113"/>
      <c r="FA162" s="122"/>
    </row>
    <row r="163" spans="1:158" s="1" customFormat="1" hidden="1" x14ac:dyDescent="0.25">
      <c r="H163" s="69"/>
      <c r="M163" s="4"/>
      <c r="N163" s="4"/>
      <c r="O163" s="4"/>
      <c r="Q163" s="4"/>
      <c r="AZ163" s="5"/>
      <c r="BB163" s="15"/>
      <c r="BC163" s="15"/>
      <c r="BF163" s="15"/>
      <c r="BG163" s="15"/>
      <c r="BJ163" s="15"/>
      <c r="BK163" s="15"/>
      <c r="BN163" s="15"/>
      <c r="BO163" s="15"/>
      <c r="ES163" s="160" t="str">
        <f>""</f>
        <v/>
      </c>
      <c r="ET163" s="238"/>
      <c r="EU163" s="238"/>
      <c r="EV163" s="238"/>
      <c r="EW163" s="133" t="str">
        <f ca="1"/>
        <v xml:space="preserve"> in curtain needed</v>
      </c>
      <c r="EX163" s="114" t="s">
        <v>163</v>
      </c>
      <c r="EY163" s="116" t="s">
        <v>206</v>
      </c>
      <c r="EZ163" s="116"/>
      <c r="FA163" s="121"/>
    </row>
    <row r="164" spans="1:158" s="1" customFormat="1" hidden="1" x14ac:dyDescent="0.25">
      <c r="H164" s="69"/>
      <c r="M164" s="4"/>
      <c r="N164" s="4"/>
      <c r="O164" s="4"/>
      <c r="Q164" s="4"/>
      <c r="AZ164" s="5"/>
      <c r="ES164" s="160" t="str">
        <f>""</f>
        <v/>
      </c>
      <c r="ET164" s="238"/>
      <c r="EU164" s="238"/>
      <c r="EV164" s="238"/>
      <c r="EW164" s="134" t="str">
        <f ca="1"/>
        <v>Number of</v>
      </c>
      <c r="EX164" s="111" t="s">
        <v>164</v>
      </c>
      <c r="EY164" s="113" t="s">
        <v>207</v>
      </c>
      <c r="EZ164" s="113"/>
      <c r="FA164" s="122"/>
    </row>
    <row r="165" spans="1:158" s="1" customFormat="1" ht="15" hidden="1" customHeight="1" x14ac:dyDescent="0.25">
      <c r="H165" s="15"/>
      <c r="AZ165" s="5"/>
      <c r="ES165" s="160" t="str">
        <f>""</f>
        <v/>
      </c>
      <c r="ET165" s="238"/>
      <c r="EU165" s="238"/>
      <c r="EV165" s="238"/>
      <c r="EW165" s="133" t="str">
        <f ca="1"/>
        <v>carriers needed*</v>
      </c>
      <c r="EX165" s="114" t="s">
        <v>361</v>
      </c>
      <c r="EY165" s="116" t="s">
        <v>362</v>
      </c>
      <c r="EZ165" s="116"/>
      <c r="FA165" s="121"/>
    </row>
    <row r="166" spans="1:158" s="1" customFormat="1" ht="15" hidden="1" customHeight="1" x14ac:dyDescent="0.25">
      <c r="I166" s="15"/>
      <c r="J166" s="15"/>
      <c r="AZ166" s="5"/>
      <c r="ES166" s="160" t="str">
        <f>""</f>
        <v/>
      </c>
      <c r="ET166" s="238"/>
      <c r="EU166" s="238"/>
      <c r="EV166" s="238"/>
      <c r="EW166" s="134" t="str">
        <f ca="1"/>
        <v>Curtain stacking</v>
      </c>
      <c r="EX166" s="111" t="s">
        <v>166</v>
      </c>
      <c r="EY166" s="113" t="s">
        <v>211</v>
      </c>
      <c r="EZ166" s="113"/>
      <c r="FA166" s="122"/>
    </row>
    <row r="167" spans="1:158" s="1" customFormat="1" ht="15" hidden="1" customHeight="1" x14ac:dyDescent="0.25">
      <c r="AI167" s="4"/>
      <c r="AK167" s="4"/>
      <c r="AZ167" s="5"/>
      <c r="ES167" s="160" t="str">
        <f>""</f>
        <v/>
      </c>
      <c r="ET167" s="238"/>
      <c r="EU167" s="238"/>
      <c r="EV167" s="238"/>
      <c r="EW167" s="132" t="str">
        <f ca="1"/>
        <v>in open position</v>
      </c>
      <c r="EX167" s="7" t="s">
        <v>167</v>
      </c>
      <c r="EY167" s="13" t="s">
        <v>209</v>
      </c>
      <c r="EZ167" s="13"/>
      <c r="FA167" s="20"/>
    </row>
    <row r="168" spans="1:158" s="1" customFormat="1" ht="15" hidden="1" customHeight="1" x14ac:dyDescent="0.25">
      <c r="A168" s="15"/>
      <c r="AZ168" s="5"/>
      <c r="ES168" s="160" t="str">
        <f>""</f>
        <v/>
      </c>
      <c r="ET168" s="238"/>
      <c r="EU168" s="238"/>
      <c r="EV168" s="238"/>
      <c r="EW168" s="133" t="str">
        <f ca="1"/>
        <v>(minimal)</v>
      </c>
      <c r="EX168" s="114" t="s">
        <v>168</v>
      </c>
      <c r="EY168" s="116" t="s">
        <v>210</v>
      </c>
      <c r="EZ168" s="116"/>
      <c r="FA168" s="121"/>
    </row>
    <row r="169" spans="1:158" s="1" customFormat="1" hidden="1" x14ac:dyDescent="0.25">
      <c r="A169" s="15"/>
      <c r="B169" s="15"/>
      <c r="C169" s="215"/>
      <c r="D169" s="215"/>
      <c r="AZ169" s="5"/>
      <c r="ES169" s="160" t="str">
        <f>""</f>
        <v/>
      </c>
      <c r="ET169" s="238" t="s">
        <v>178</v>
      </c>
      <c r="EU169" s="238"/>
      <c r="EV169" s="240"/>
      <c r="EW169" s="134" t="str">
        <f ca="1"/>
        <v>M</v>
      </c>
      <c r="EX169" s="111" t="s">
        <v>363</v>
      </c>
      <c r="EY169" s="113" t="s">
        <v>363</v>
      </c>
      <c r="EZ169" s="228"/>
      <c r="FA169" s="122"/>
      <c r="FB169" s="229" t="s">
        <v>217</v>
      </c>
    </row>
    <row r="170" spans="1:158" s="1" customFormat="1" hidden="1" x14ac:dyDescent="0.25">
      <c r="A170" s="15"/>
      <c r="B170" s="230"/>
      <c r="AZ170" s="5"/>
      <c r="ES170" s="160" t="str">
        <f>""</f>
        <v/>
      </c>
      <c r="ET170" s="238"/>
      <c r="EU170" s="238"/>
      <c r="EV170" s="240"/>
      <c r="EW170" s="132" t="str">
        <f ca="1"/>
        <v>R</v>
      </c>
      <c r="EX170" s="7" t="s">
        <v>364</v>
      </c>
      <c r="EY170" s="13" t="s">
        <v>364</v>
      </c>
      <c r="EZ170" s="231"/>
      <c r="FA170" s="20"/>
      <c r="FB170" s="229" t="s">
        <v>218</v>
      </c>
    </row>
    <row r="171" spans="1:158" s="1" customFormat="1" hidden="1" x14ac:dyDescent="0.25">
      <c r="A171" s="15"/>
      <c r="B171" s="230"/>
      <c r="AZ171" s="5"/>
      <c r="ES171" s="160" t="str">
        <f>""</f>
        <v/>
      </c>
      <c r="ET171" s="238"/>
      <c r="EU171" s="238"/>
      <c r="EV171" s="240"/>
      <c r="EW171" s="132" t="str">
        <f ca="1"/>
        <v>L</v>
      </c>
      <c r="EX171" s="7" t="s">
        <v>1</v>
      </c>
      <c r="EY171" s="13" t="s">
        <v>1</v>
      </c>
      <c r="EZ171" s="231"/>
      <c r="FA171" s="20"/>
      <c r="FB171" s="229" t="s">
        <v>219</v>
      </c>
    </row>
    <row r="172" spans="1:158" s="1" customFormat="1" hidden="1" x14ac:dyDescent="0.25">
      <c r="A172" s="15"/>
      <c r="B172" s="230"/>
      <c r="AZ172" s="5"/>
      <c r="ES172" s="160" t="str">
        <f>""</f>
        <v/>
      </c>
      <c r="ET172" s="238"/>
      <c r="EU172" s="238"/>
      <c r="EV172" s="240"/>
      <c r="EW172" s="132" t="str">
        <f ca="1"/>
        <v>R</v>
      </c>
      <c r="EX172" s="7" t="s">
        <v>364</v>
      </c>
      <c r="EY172" s="13" t="s">
        <v>364</v>
      </c>
      <c r="EZ172" s="231"/>
      <c r="FA172" s="20"/>
      <c r="FB172" s="229" t="s">
        <v>220</v>
      </c>
    </row>
    <row r="173" spans="1:158" s="1" customFormat="1" hidden="1" x14ac:dyDescent="0.25">
      <c r="A173" s="15"/>
      <c r="B173" s="230"/>
      <c r="AZ173" s="5"/>
      <c r="ES173" s="160" t="str">
        <f>""</f>
        <v/>
      </c>
      <c r="ET173" s="238"/>
      <c r="EU173" s="238"/>
      <c r="EV173" s="240"/>
      <c r="EW173" s="132" t="str">
        <f ca="1"/>
        <v>C</v>
      </c>
      <c r="EX173" s="7" t="s">
        <v>73</v>
      </c>
      <c r="EY173" s="13" t="s">
        <v>72</v>
      </c>
      <c r="EZ173" s="231"/>
      <c r="FA173" s="20"/>
      <c r="FB173" s="229" t="s">
        <v>221</v>
      </c>
    </row>
    <row r="174" spans="1:158" s="1" customFormat="1" ht="15" hidden="1" customHeight="1" x14ac:dyDescent="0.25">
      <c r="A174" s="15"/>
      <c r="B174" s="230"/>
      <c r="AZ174" s="5"/>
      <c r="ES174" s="160" t="str">
        <f>""</f>
        <v/>
      </c>
      <c r="ET174" s="238"/>
      <c r="EU174" s="238"/>
      <c r="EV174" s="240"/>
      <c r="EW174" s="133" t="str">
        <f ca="1"/>
        <v>R</v>
      </c>
      <c r="EX174" s="114" t="s">
        <v>364</v>
      </c>
      <c r="EY174" s="116" t="s">
        <v>364</v>
      </c>
      <c r="EZ174" s="232"/>
      <c r="FA174" s="121"/>
      <c r="FB174" s="229" t="s">
        <v>218</v>
      </c>
    </row>
    <row r="175" spans="1:158" s="1" customFormat="1" hidden="1" x14ac:dyDescent="0.25">
      <c r="A175" s="15"/>
      <c r="B175" s="230"/>
      <c r="AZ175" s="5"/>
      <c r="ES175" s="160" t="str">
        <f>""</f>
        <v/>
      </c>
      <c r="ET175" s="238" t="s">
        <v>179</v>
      </c>
      <c r="EU175" s="238"/>
      <c r="EV175" s="238"/>
      <c r="EW175" s="134" t="str">
        <f ca="1"/>
        <v>Center closing</v>
      </c>
      <c r="EX175" s="111" t="s">
        <v>13</v>
      </c>
      <c r="EY175" s="113" t="s">
        <v>215</v>
      </c>
      <c r="EZ175" s="113"/>
      <c r="FA175" s="122"/>
    </row>
    <row r="176" spans="1:158" s="1" customFormat="1" hidden="1" x14ac:dyDescent="0.25">
      <c r="A176" s="15"/>
      <c r="AZ176" s="5"/>
      <c r="ES176" s="160" t="str">
        <f>""</f>
        <v/>
      </c>
      <c r="ET176" s="238"/>
      <c r="EU176" s="238"/>
      <c r="EV176" s="238"/>
      <c r="EW176" s="133" t="str">
        <f ca="1"/>
        <v>One-way draw</v>
      </c>
      <c r="EX176" s="114" t="s">
        <v>12</v>
      </c>
      <c r="EY176" s="116" t="s">
        <v>216</v>
      </c>
      <c r="EZ176" s="116"/>
      <c r="FA176" s="121"/>
    </row>
    <row r="177" spans="1:157" s="1" customFormat="1" hidden="1" x14ac:dyDescent="0.25">
      <c r="A177" s="15"/>
      <c r="AZ177" s="5"/>
      <c r="ES177" s="160" t="str">
        <f>""</f>
        <v/>
      </c>
      <c r="ET177" s="238"/>
      <c r="EU177" s="238"/>
      <c r="EV177" s="238"/>
      <c r="EW177" s="134" t="str">
        <f ca="1"/>
        <v>Steel</v>
      </c>
      <c r="EX177" s="111" t="s">
        <v>95</v>
      </c>
      <c r="EY177" s="113" t="s">
        <v>82</v>
      </c>
      <c r="EZ177" s="113"/>
      <c r="FA177" s="122"/>
    </row>
    <row r="178" spans="1:157" s="1" customFormat="1" ht="15.75" hidden="1" thickBot="1" x14ac:dyDescent="0.3">
      <c r="A178" s="15"/>
      <c r="AZ178" s="5"/>
      <c r="ES178" s="161" t="str">
        <f>""</f>
        <v/>
      </c>
      <c r="ET178" s="238"/>
      <c r="EU178" s="238"/>
      <c r="EV178" s="238"/>
      <c r="EW178" s="133" t="str">
        <f ca="1"/>
        <v>Plastic</v>
      </c>
      <c r="EX178" s="114" t="s">
        <v>96</v>
      </c>
      <c r="EY178" s="116" t="s">
        <v>83</v>
      </c>
      <c r="EZ178" s="116"/>
      <c r="FA178" s="121"/>
    </row>
    <row r="179" spans="1:157" s="1" customFormat="1" hidden="1" x14ac:dyDescent="0.25">
      <c r="A179" s="15"/>
      <c r="AZ179" s="5"/>
    </row>
    <row r="180" spans="1:157" s="1" customFormat="1" hidden="1" x14ac:dyDescent="0.25">
      <c r="A180" s="15"/>
      <c r="AZ180" s="5"/>
    </row>
    <row r="181" spans="1:157" s="1" customFormat="1" hidden="1" x14ac:dyDescent="0.25">
      <c r="A181" s="15"/>
      <c r="AZ181" s="5"/>
    </row>
    <row r="182" spans="1:157" s="1" customFormat="1" hidden="1" x14ac:dyDescent="0.25">
      <c r="A182" s="15"/>
      <c r="AZ182" s="5"/>
    </row>
    <row r="183" spans="1:157" s="1" customFormat="1" hidden="1" x14ac:dyDescent="0.25">
      <c r="A183" s="15"/>
      <c r="AZ183" s="5"/>
    </row>
    <row r="184" spans="1:157" s="1" customFormat="1" hidden="1" x14ac:dyDescent="0.25">
      <c r="AZ184" s="5"/>
    </row>
    <row r="185" spans="1:157" s="1" customFormat="1" hidden="1" x14ac:dyDescent="0.25">
      <c r="AZ185" s="5"/>
    </row>
    <row r="186" spans="1:157" s="1" customFormat="1" hidden="1" x14ac:dyDescent="0.25">
      <c r="AZ186" s="5"/>
    </row>
    <row r="187" spans="1:157" s="1" customFormat="1" hidden="1" x14ac:dyDescent="0.25">
      <c r="AZ187" s="5"/>
    </row>
    <row r="188" spans="1:157" s="1" customFormat="1" hidden="1" x14ac:dyDescent="0.25">
      <c r="AZ188" s="5"/>
    </row>
    <row r="189" spans="1:157" s="1" customFormat="1" hidden="1" x14ac:dyDescent="0.25">
      <c r="AZ189" s="5"/>
    </row>
    <row r="596" spans="138:157" ht="96" customHeight="1" x14ac:dyDescent="0.25">
      <c r="EH596" s="82"/>
      <c r="EK596" s="3" t="s">
        <v>3</v>
      </c>
    </row>
    <row r="597" spans="138:157" ht="96" customHeight="1" x14ac:dyDescent="0.25">
      <c r="ES597" s="220"/>
    </row>
    <row r="598" spans="138:157" ht="96" hidden="1" customHeight="1" x14ac:dyDescent="0.25">
      <c r="EK598" s="358" t="s">
        <v>133</v>
      </c>
      <c r="EL598" s="358"/>
      <c r="EM598" s="358"/>
      <c r="EQ598" s="220" t="s">
        <v>132</v>
      </c>
      <c r="ER598" s="220"/>
      <c r="ES598" s="94" t="s">
        <v>100</v>
      </c>
    </row>
    <row r="599" spans="138:157" ht="15.75" hidden="1" thickBot="1" x14ac:dyDescent="0.3">
      <c r="EK599" s="94" t="s">
        <v>98</v>
      </c>
      <c r="EL599" s="94"/>
      <c r="EM599" s="94" t="s">
        <v>100</v>
      </c>
      <c r="EO599" s="94" t="s">
        <v>123</v>
      </c>
      <c r="EQ599" s="94" t="s">
        <v>98</v>
      </c>
      <c r="ER599" s="94"/>
    </row>
    <row r="600" spans="138:157" x14ac:dyDescent="0.25">
      <c r="EV600" s="357"/>
      <c r="EW600" s="357"/>
      <c r="EX600" s="357"/>
      <c r="EY600" s="357"/>
      <c r="EZ600" s="357"/>
      <c r="FA600" s="357"/>
    </row>
    <row r="601" spans="138:157" ht="147.75" customHeight="1" x14ac:dyDescent="0.25">
      <c r="EV601" s="357"/>
      <c r="EW601" s="357"/>
      <c r="EX601" s="357"/>
      <c r="EY601" s="357"/>
      <c r="EZ601" s="357"/>
      <c r="FA601" s="357"/>
    </row>
    <row r="602" spans="138:157" ht="147.75" customHeight="1" x14ac:dyDescent="0.25">
      <c r="EV602" s="357"/>
      <c r="EW602" s="357"/>
      <c r="EX602" s="357"/>
      <c r="EY602" s="357"/>
      <c r="EZ602" s="357"/>
      <c r="FA602" s="357"/>
    </row>
    <row r="603" spans="138:157" ht="147.75" customHeight="1" x14ac:dyDescent="0.25">
      <c r="EK603" s="210"/>
      <c r="EV603" s="357"/>
      <c r="EW603" s="357"/>
      <c r="EX603" s="357"/>
      <c r="EY603" s="357"/>
      <c r="EZ603" s="357"/>
      <c r="FA603" s="357"/>
    </row>
    <row r="604" spans="138:157" ht="147.75" customHeight="1" x14ac:dyDescent="0.25">
      <c r="EV604" s="357"/>
      <c r="EW604" s="357"/>
      <c r="EX604" s="357"/>
      <c r="EY604" s="357"/>
      <c r="EZ604" s="357"/>
      <c r="FA604" s="357"/>
    </row>
    <row r="605" spans="138:157" ht="147.75" customHeight="1" x14ac:dyDescent="0.25">
      <c r="EV605" s="357"/>
      <c r="EW605" s="357"/>
      <c r="EX605" s="357"/>
      <c r="EY605" s="357"/>
      <c r="EZ605" s="357"/>
      <c r="FA605" s="357"/>
    </row>
    <row r="606" spans="138:157" ht="147.75" customHeight="1" x14ac:dyDescent="0.25">
      <c r="EV606" s="357"/>
      <c r="EW606" s="357"/>
      <c r="EX606" s="357"/>
      <c r="EY606" s="357"/>
      <c r="EZ606" s="357"/>
      <c r="FA606" s="357"/>
    </row>
    <row r="607" spans="138:157" ht="147.75" customHeight="1" x14ac:dyDescent="0.25">
      <c r="EV607" s="357"/>
      <c r="EW607" s="357"/>
      <c r="EX607" s="357"/>
      <c r="EY607" s="357"/>
      <c r="EZ607" s="357"/>
      <c r="FA607" s="357"/>
    </row>
    <row r="608" spans="138:157" ht="147.75" customHeight="1" x14ac:dyDescent="0.25">
      <c r="EV608" s="357"/>
      <c r="EW608" s="357"/>
      <c r="EX608" s="357"/>
      <c r="EY608" s="357"/>
      <c r="EZ608" s="357"/>
      <c r="FA608" s="357"/>
    </row>
    <row r="609" spans="140:157" ht="147.75" customHeight="1" x14ac:dyDescent="0.25">
      <c r="EV609" s="357"/>
      <c r="EW609" s="357"/>
      <c r="EX609" s="357"/>
      <c r="EY609" s="357"/>
      <c r="EZ609" s="357"/>
      <c r="FA609" s="357"/>
    </row>
    <row r="610" spans="140:157" ht="147.75" customHeight="1" x14ac:dyDescent="0.25">
      <c r="EV610" s="357"/>
      <c r="EW610" s="357"/>
      <c r="EX610" s="357"/>
      <c r="EY610" s="357"/>
      <c r="EZ610" s="357"/>
      <c r="FA610" s="357"/>
    </row>
    <row r="611" spans="140:157" ht="147.75" customHeight="1" x14ac:dyDescent="0.25">
      <c r="EV611" s="357"/>
      <c r="EW611" s="357"/>
      <c r="EX611" s="357"/>
      <c r="EY611" s="357"/>
      <c r="EZ611" s="357"/>
      <c r="FA611" s="357"/>
    </row>
    <row r="612" spans="140:157" ht="147" customHeight="1" x14ac:dyDescent="0.25">
      <c r="EK612" s="89"/>
      <c r="EV612" s="357"/>
      <c r="EW612" s="357"/>
      <c r="EX612" s="357"/>
      <c r="EY612" s="357"/>
      <c r="EZ612" s="357"/>
      <c r="FA612" s="357"/>
    </row>
    <row r="613" spans="140:157" ht="147.75" customHeight="1" x14ac:dyDescent="0.25">
      <c r="EV613" s="357"/>
      <c r="EW613" s="357"/>
      <c r="EX613" s="357"/>
      <c r="EY613" s="357"/>
      <c r="EZ613" s="357"/>
      <c r="FA613" s="357"/>
    </row>
    <row r="614" spans="140:157" ht="147" customHeight="1" x14ac:dyDescent="0.25">
      <c r="EK614" s="89"/>
      <c r="EV614" s="357"/>
      <c r="EW614" s="357"/>
      <c r="EX614" s="357"/>
      <c r="EY614" s="357"/>
      <c r="EZ614" s="357"/>
      <c r="FA614" s="357"/>
    </row>
    <row r="615" spans="140:157" ht="147" customHeight="1" x14ac:dyDescent="0.25">
      <c r="EV615" s="357"/>
      <c r="EW615" s="357"/>
      <c r="EX615" s="357"/>
      <c r="EY615" s="357"/>
      <c r="EZ615" s="357"/>
      <c r="FA615" s="357"/>
    </row>
    <row r="616" spans="140:157" ht="147" customHeight="1" x14ac:dyDescent="0.25">
      <c r="EV616" s="357"/>
      <c r="EW616" s="357"/>
      <c r="EX616" s="357"/>
      <c r="EY616" s="357"/>
      <c r="EZ616" s="357"/>
      <c r="FA616" s="357"/>
    </row>
    <row r="617" spans="140:157" ht="147" customHeight="1" x14ac:dyDescent="0.25">
      <c r="EV617" s="357"/>
      <c r="EW617" s="357"/>
      <c r="EX617" s="357"/>
      <c r="EY617" s="357"/>
      <c r="EZ617" s="357"/>
      <c r="FA617" s="357"/>
    </row>
    <row r="618" spans="140:157" ht="147" customHeight="1" x14ac:dyDescent="0.25">
      <c r="EV618" s="357"/>
      <c r="EW618" s="357"/>
      <c r="EX618" s="357"/>
      <c r="EY618" s="357"/>
      <c r="EZ618" s="357"/>
      <c r="FA618" s="357"/>
    </row>
    <row r="619" spans="140:157" ht="147" customHeight="1" x14ac:dyDescent="0.25">
      <c r="EV619" s="357"/>
      <c r="EW619" s="357"/>
      <c r="EX619" s="357"/>
      <c r="EY619" s="357"/>
      <c r="EZ619" s="357"/>
      <c r="FA619" s="357"/>
    </row>
    <row r="620" spans="140:157" ht="147" customHeight="1" x14ac:dyDescent="0.25">
      <c r="ES620" s="80"/>
      <c r="ET620" s="80"/>
      <c r="EU620" s="80"/>
      <c r="EV620" s="80"/>
    </row>
    <row r="621" spans="140:157" ht="147" customHeight="1" x14ac:dyDescent="0.25">
      <c r="EJ621" s="80"/>
      <c r="EK621" s="80"/>
      <c r="EL621" s="80"/>
      <c r="EM621" s="80"/>
      <c r="EN621" s="80"/>
      <c r="EO621" s="80"/>
      <c r="EP621" s="80"/>
      <c r="EQ621" s="80"/>
      <c r="ER621" s="80"/>
      <c r="ES621" s="80"/>
      <c r="ET621" s="80"/>
      <c r="EU621" s="80"/>
      <c r="EV621" s="80"/>
    </row>
    <row r="622" spans="140:157" ht="147" customHeight="1" x14ac:dyDescent="0.25">
      <c r="EJ622" s="80"/>
      <c r="EK622" s="80"/>
      <c r="EL622" s="80"/>
      <c r="EM622" s="80"/>
      <c r="EN622" s="80"/>
      <c r="EO622" s="80"/>
      <c r="EP622" s="80"/>
      <c r="EQ622" s="80"/>
      <c r="ER622" s="80"/>
      <c r="ES622" s="80"/>
      <c r="ET622" s="80"/>
      <c r="EU622" s="80"/>
      <c r="EV622" s="80"/>
    </row>
    <row r="623" spans="140:157" x14ac:dyDescent="0.25">
      <c r="EJ623" s="80"/>
      <c r="EK623" s="80"/>
      <c r="EL623" s="80"/>
      <c r="EM623" s="80"/>
      <c r="EN623" s="80"/>
      <c r="EO623" s="80"/>
      <c r="EP623" s="80"/>
      <c r="EQ623" s="80"/>
      <c r="ER623" s="80"/>
      <c r="ES623" s="80"/>
      <c r="ET623" s="80"/>
      <c r="EU623" s="80"/>
      <c r="EV623" s="80"/>
    </row>
    <row r="624" spans="140:157" x14ac:dyDescent="0.25">
      <c r="EJ624" s="80"/>
      <c r="EK624" s="80"/>
      <c r="EL624" s="80"/>
      <c r="EM624" s="80"/>
      <c r="EN624" s="80"/>
      <c r="EO624" s="80"/>
      <c r="EP624" s="80"/>
      <c r="EQ624" s="80"/>
      <c r="ER624" s="80"/>
      <c r="ES624" s="80"/>
      <c r="ET624" s="80"/>
      <c r="EU624" s="80"/>
      <c r="EV624" s="80"/>
    </row>
    <row r="625" spans="140:148" x14ac:dyDescent="0.25">
      <c r="EJ625" s="80"/>
      <c r="EK625" s="80"/>
      <c r="EL625" s="80"/>
      <c r="EM625" s="80"/>
      <c r="EN625" s="80"/>
      <c r="EO625" s="80"/>
      <c r="EP625" s="80"/>
      <c r="EQ625" s="80"/>
      <c r="ER625" s="80"/>
    </row>
  </sheetData>
  <sheetProtection algorithmName="SHA-512" hashValue="icRLyc4T6V69D3wKPGFkTa0SyO3vyGKvU0LUxhkRPevCb6ui4azhpviqm5nrnoqhJOb8iSsQBQhqBeOdVAk88g==" saltValue="MjXriFsCmUmhpDF7uw1Dlw==" spinCount="100000" sheet="1" objects="1" scenarios="1" selectLockedCells="1"/>
  <mergeCells count="937">
    <mergeCell ref="ET148:EV148"/>
    <mergeCell ref="BQ79:BR79"/>
    <mergeCell ref="BQ46:BR54"/>
    <mergeCell ref="BQ55:BR55"/>
    <mergeCell ref="BQ58:BR58"/>
    <mergeCell ref="BQ59:BR59"/>
    <mergeCell ref="BQ60:BR60"/>
    <mergeCell ref="BQ61:BR61"/>
    <mergeCell ref="BQ62:BR62"/>
    <mergeCell ref="BQ63:BR63"/>
    <mergeCell ref="BQ64:BR64"/>
    <mergeCell ref="BV59:BW59"/>
    <mergeCell ref="BV60:BW60"/>
    <mergeCell ref="BV61:BW61"/>
    <mergeCell ref="BZ47:CD47"/>
    <mergeCell ref="BV46:CD46"/>
    <mergeCell ref="BZ48:CD48"/>
    <mergeCell ref="BZ49:CD49"/>
    <mergeCell ref="BZ50:CD50"/>
    <mergeCell ref="BV53:BY53"/>
    <mergeCell ref="BZ55:CD55"/>
    <mergeCell ref="BQ67:BR67"/>
    <mergeCell ref="BQ68:BR68"/>
    <mergeCell ref="BQ69:BR69"/>
    <mergeCell ref="BQ70:BR70"/>
    <mergeCell ref="BQ71:BR71"/>
    <mergeCell ref="BQ72:BR72"/>
    <mergeCell ref="BQ65:BR65"/>
    <mergeCell ref="BQ66:BR66"/>
    <mergeCell ref="BZ58:CF58"/>
    <mergeCell ref="BZ59:CF59"/>
    <mergeCell ref="BZ66:CF66"/>
    <mergeCell ref="BZ54:CD54"/>
    <mergeCell ref="BV63:BW63"/>
    <mergeCell ref="BV64:BW64"/>
    <mergeCell ref="BV65:BW65"/>
    <mergeCell ref="BV66:BW66"/>
    <mergeCell ref="BX66:BY66"/>
    <mergeCell ref="BZ60:CF60"/>
    <mergeCell ref="BZ61:CF61"/>
    <mergeCell ref="BZ53:CD53"/>
    <mergeCell ref="BZ52:CD52"/>
    <mergeCell ref="BZ51:CD51"/>
    <mergeCell ref="BV58:BW58"/>
    <mergeCell ref="ET66:EV66"/>
    <mergeCell ref="AI115:AK116"/>
    <mergeCell ref="AK76:AL76"/>
    <mergeCell ref="C138:G138"/>
    <mergeCell ref="AQ114:AR115"/>
    <mergeCell ref="AT111:AT112"/>
    <mergeCell ref="ET67:EV85"/>
    <mergeCell ref="C137:G137"/>
    <mergeCell ref="L137:O137"/>
    <mergeCell ref="P137:T137"/>
    <mergeCell ref="BA112:BC112"/>
    <mergeCell ref="BA113:BC113"/>
    <mergeCell ref="BA114:BC114"/>
    <mergeCell ref="BA115:BC115"/>
    <mergeCell ref="BA116:BC116"/>
    <mergeCell ref="BG76:BH76"/>
    <mergeCell ref="BI76:BJ76"/>
    <mergeCell ref="BK76:BL76"/>
    <mergeCell ref="BM76:BN76"/>
    <mergeCell ref="BQ76:BR76"/>
    <mergeCell ref="BQ77:BR77"/>
    <mergeCell ref="BQ78:BR78"/>
    <mergeCell ref="AK64:AR64"/>
    <mergeCell ref="AG62:AJ62"/>
    <mergeCell ref="AG63:AJ63"/>
    <mergeCell ref="T46:T55"/>
    <mergeCell ref="U62:V62"/>
    <mergeCell ref="U58:V58"/>
    <mergeCell ref="BQ73:BR73"/>
    <mergeCell ref="BQ74:BR74"/>
    <mergeCell ref="BQ75:BR75"/>
    <mergeCell ref="BA61:BB61"/>
    <mergeCell ref="BK46:BN50"/>
    <mergeCell ref="BK55:BL55"/>
    <mergeCell ref="BM52:BN54"/>
    <mergeCell ref="BK52:BL54"/>
    <mergeCell ref="AQ58:AR58"/>
    <mergeCell ref="AO58:AP58"/>
    <mergeCell ref="AQ57:AR57"/>
    <mergeCell ref="AC52:AD54"/>
    <mergeCell ref="W58:X58"/>
    <mergeCell ref="W62:X62"/>
    <mergeCell ref="AI57:AJ57"/>
    <mergeCell ref="AK57:AL57"/>
    <mergeCell ref="A24:D24"/>
    <mergeCell ref="I46:I55"/>
    <mergeCell ref="A42:Q42"/>
    <mergeCell ref="A43:Q43"/>
    <mergeCell ref="W13:Z13"/>
    <mergeCell ref="AA19:AC19"/>
    <mergeCell ref="AA16:AC16"/>
    <mergeCell ref="AM61:AN61"/>
    <mergeCell ref="AK61:AL61"/>
    <mergeCell ref="A56:F56"/>
    <mergeCell ref="G56:H56"/>
    <mergeCell ref="AK58:AL58"/>
    <mergeCell ref="AM58:AN58"/>
    <mergeCell ref="U60:V60"/>
    <mergeCell ref="W60:X60"/>
    <mergeCell ref="Y60:Z60"/>
    <mergeCell ref="AA60:AB60"/>
    <mergeCell ref="A57:F57"/>
    <mergeCell ref="A58:F58"/>
    <mergeCell ref="U52:V54"/>
    <mergeCell ref="W55:X55"/>
    <mergeCell ref="U55:V55"/>
    <mergeCell ref="Y52:Z54"/>
    <mergeCell ref="AA52:AB54"/>
    <mergeCell ref="A1:D1"/>
    <mergeCell ref="P135:T135"/>
    <mergeCell ref="P136:T136"/>
    <mergeCell ref="R46:R55"/>
    <mergeCell ref="C124:G124"/>
    <mergeCell ref="P124:Q124"/>
    <mergeCell ref="L124:O124"/>
    <mergeCell ref="A2:D2"/>
    <mergeCell ref="E1:E2"/>
    <mergeCell ref="C134:G134"/>
    <mergeCell ref="C135:G135"/>
    <mergeCell ref="C136:G136"/>
    <mergeCell ref="L134:O134"/>
    <mergeCell ref="L135:O135"/>
    <mergeCell ref="L136:O136"/>
    <mergeCell ref="P134:T134"/>
    <mergeCell ref="G46:H55"/>
    <mergeCell ref="A54:F55"/>
    <mergeCell ref="A70:F70"/>
    <mergeCell ref="A71:F71"/>
    <mergeCell ref="A64:F64"/>
    <mergeCell ref="A65:F65"/>
    <mergeCell ref="A66:F66"/>
    <mergeCell ref="A62:F62"/>
    <mergeCell ref="DT70:DU70"/>
    <mergeCell ref="BO76:BP76"/>
    <mergeCell ref="BG83:BJ83"/>
    <mergeCell ref="BG82:BJ82"/>
    <mergeCell ref="BK83:BN83"/>
    <mergeCell ref="BK84:BN84"/>
    <mergeCell ref="BA117:BC117"/>
    <mergeCell ref="BV82:BW82"/>
    <mergeCell ref="BX82:BY82"/>
    <mergeCell ref="BA72:BB72"/>
    <mergeCell ref="BA77:BB77"/>
    <mergeCell ref="BO77:BP77"/>
    <mergeCell ref="BI71:BJ71"/>
    <mergeCell ref="BK74:BL74"/>
    <mergeCell ref="BK71:BL71"/>
    <mergeCell ref="BM71:BN71"/>
    <mergeCell ref="BO72:BP72"/>
    <mergeCell ref="BO73:BP73"/>
    <mergeCell ref="BO82:BP82"/>
    <mergeCell ref="BC82:BF82"/>
    <mergeCell ref="BK78:BL78"/>
    <mergeCell ref="BM78:BN78"/>
    <mergeCell ref="BK77:BN77"/>
    <mergeCell ref="BE77:BF77"/>
    <mergeCell ref="AL118:AN118"/>
    <mergeCell ref="AL115:AM116"/>
    <mergeCell ref="AN115:AN116"/>
    <mergeCell ref="AU116:AU117"/>
    <mergeCell ref="AV117:AX117"/>
    <mergeCell ref="AV115:AX115"/>
    <mergeCell ref="AL120:AN120"/>
    <mergeCell ref="DP70:DQ70"/>
    <mergeCell ref="DR70:DS70"/>
    <mergeCell ref="AK74:AL74"/>
    <mergeCell ref="AM74:AN74"/>
    <mergeCell ref="AO74:AP74"/>
    <mergeCell ref="AU112:AU113"/>
    <mergeCell ref="AY74:AZ74"/>
    <mergeCell ref="AS79:AT79"/>
    <mergeCell ref="AS77:AV77"/>
    <mergeCell ref="AW79:AX79"/>
    <mergeCell ref="AU79:AV79"/>
    <mergeCell ref="AW76:AX76"/>
    <mergeCell ref="AU71:AV71"/>
    <mergeCell ref="AQ76:AR76"/>
    <mergeCell ref="AU76:AV76"/>
    <mergeCell ref="AW71:AX71"/>
    <mergeCell ref="AS74:AT74"/>
    <mergeCell ref="C133:G133"/>
    <mergeCell ref="AE71:AF71"/>
    <mergeCell ref="AC71:AD71"/>
    <mergeCell ref="C132:G132"/>
    <mergeCell ref="C111:G111"/>
    <mergeCell ref="H106:H110"/>
    <mergeCell ref="I106:I110"/>
    <mergeCell ref="C112:G112"/>
    <mergeCell ref="C113:G113"/>
    <mergeCell ref="C114:G114"/>
    <mergeCell ref="Y79:Z79"/>
    <mergeCell ref="AA79:AB79"/>
    <mergeCell ref="C131:G131"/>
    <mergeCell ref="C129:G129"/>
    <mergeCell ref="C130:G130"/>
    <mergeCell ref="A72:F72"/>
    <mergeCell ref="A73:F73"/>
    <mergeCell ref="A74:F74"/>
    <mergeCell ref="C116:G116"/>
    <mergeCell ref="C117:G117"/>
    <mergeCell ref="C118:G118"/>
    <mergeCell ref="C119:G119"/>
    <mergeCell ref="U77:X77"/>
    <mergeCell ref="U78:X78"/>
    <mergeCell ref="AL121:AN121"/>
    <mergeCell ref="BA118:BC118"/>
    <mergeCell ref="AI58:AJ58"/>
    <mergeCell ref="AG58:AH58"/>
    <mergeCell ref="AE61:AF61"/>
    <mergeCell ref="AC62:AF62"/>
    <mergeCell ref="AC63:AF63"/>
    <mergeCell ref="AC61:AD61"/>
    <mergeCell ref="AE58:AF58"/>
    <mergeCell ref="AC58:AD58"/>
    <mergeCell ref="AC60:AF60"/>
    <mergeCell ref="AL119:AN119"/>
    <mergeCell ref="AG64:AJ64"/>
    <mergeCell ref="AG65:AJ65"/>
    <mergeCell ref="AK62:AR62"/>
    <mergeCell ref="AK63:AR63"/>
    <mergeCell ref="AC74:AD74"/>
    <mergeCell ref="Y64:AF64"/>
    <mergeCell ref="Y78:Z78"/>
    <mergeCell ref="AA78:AB78"/>
    <mergeCell ref="AY71:AZ71"/>
    <mergeCell ref="AW66:AZ66"/>
    <mergeCell ref="AW67:AZ67"/>
    <mergeCell ref="AW74:AX74"/>
    <mergeCell ref="U61:X61"/>
    <mergeCell ref="U63:X63"/>
    <mergeCell ref="AI120:AK120"/>
    <mergeCell ref="AI119:AK119"/>
    <mergeCell ref="AI118:AK118"/>
    <mergeCell ref="AI121:AK121"/>
    <mergeCell ref="AG84:AJ84"/>
    <mergeCell ref="A63:F63"/>
    <mergeCell ref="A76:F76"/>
    <mergeCell ref="A75:F75"/>
    <mergeCell ref="A78:F78"/>
    <mergeCell ref="U74:V74"/>
    <mergeCell ref="AA76:AB76"/>
    <mergeCell ref="AA63:AB63"/>
    <mergeCell ref="AA65:AB65"/>
    <mergeCell ref="Y65:Z65"/>
    <mergeCell ref="Y63:Z63"/>
    <mergeCell ref="Y85:AF85"/>
    <mergeCell ref="Y71:Z71"/>
    <mergeCell ref="U83:X83"/>
    <mergeCell ref="Y83:AF83"/>
    <mergeCell ref="W74:X74"/>
    <mergeCell ref="Y74:Z74"/>
    <mergeCell ref="U75:X75"/>
    <mergeCell ref="AA66:AB66"/>
    <mergeCell ref="Y66:Z66"/>
    <mergeCell ref="AA71:AB71"/>
    <mergeCell ref="AC79:AD79"/>
    <mergeCell ref="AG83:AJ83"/>
    <mergeCell ref="AS76:AT76"/>
    <mergeCell ref="AG67:AJ67"/>
    <mergeCell ref="AC65:AF65"/>
    <mergeCell ref="AG66:AJ66"/>
    <mergeCell ref="AQ79:AR79"/>
    <mergeCell ref="AK67:AR67"/>
    <mergeCell ref="AK77:AR77"/>
    <mergeCell ref="AM76:AN76"/>
    <mergeCell ref="AE74:AF74"/>
    <mergeCell ref="AC66:AF66"/>
    <mergeCell ref="AK78:AL78"/>
    <mergeCell ref="AS66:AV66"/>
    <mergeCell ref="AK65:AR65"/>
    <mergeCell ref="AK66:AR66"/>
    <mergeCell ref="AK71:AL71"/>
    <mergeCell ref="AM71:AN71"/>
    <mergeCell ref="AO71:AP71"/>
    <mergeCell ref="AQ71:AR71"/>
    <mergeCell ref="AS71:AT71"/>
    <mergeCell ref="AS65:AV65"/>
    <mergeCell ref="AL114:AM114"/>
    <mergeCell ref="AU114:AU115"/>
    <mergeCell ref="AV114:AX114"/>
    <mergeCell ref="AI114:AK114"/>
    <mergeCell ref="AK83:AR83"/>
    <mergeCell ref="AK82:AR82"/>
    <mergeCell ref="AK79:AL79"/>
    <mergeCell ref="AM79:AN79"/>
    <mergeCell ref="AO79:AP79"/>
    <mergeCell ref="AM78:AN78"/>
    <mergeCell ref="AV113:AX113"/>
    <mergeCell ref="AW77:AZ77"/>
    <mergeCell ref="AO78:AP78"/>
    <mergeCell ref="AQ78:AR78"/>
    <mergeCell ref="AW78:AX78"/>
    <mergeCell ref="AW68:AZ68"/>
    <mergeCell ref="AY76:AZ76"/>
    <mergeCell ref="AU111:AX111"/>
    <mergeCell ref="AP111:AS111"/>
    <mergeCell ref="AP112:AS112"/>
    <mergeCell ref="AI111:AK111"/>
    <mergeCell ref="AI112:AK112"/>
    <mergeCell ref="AI113:AK113"/>
    <mergeCell ref="A67:F67"/>
    <mergeCell ref="AG70:AJ70"/>
    <mergeCell ref="AG75:AJ75"/>
    <mergeCell ref="AK73:AR73"/>
    <mergeCell ref="AK75:AR75"/>
    <mergeCell ref="AK70:AR70"/>
    <mergeCell ref="AS72:AV72"/>
    <mergeCell ref="U67:X67"/>
    <mergeCell ref="U69:X69"/>
    <mergeCell ref="AG72:AJ72"/>
    <mergeCell ref="AK72:AR72"/>
    <mergeCell ref="AI71:AJ71"/>
    <mergeCell ref="Y76:Z76"/>
    <mergeCell ref="AA74:AB74"/>
    <mergeCell ref="AG71:AH71"/>
    <mergeCell ref="AO76:AP76"/>
    <mergeCell ref="AU74:AV74"/>
    <mergeCell ref="AG74:AH74"/>
    <mergeCell ref="AI74:AJ74"/>
    <mergeCell ref="BG61:BH61"/>
    <mergeCell ref="BI61:BJ61"/>
    <mergeCell ref="BG46:BJ50"/>
    <mergeCell ref="BM58:BN58"/>
    <mergeCell ref="BK58:BL58"/>
    <mergeCell ref="BA57:BB57"/>
    <mergeCell ref="W16:Z16"/>
    <mergeCell ref="AS58:AT58"/>
    <mergeCell ref="AU58:AV58"/>
    <mergeCell ref="AW52:AX54"/>
    <mergeCell ref="AW58:AX58"/>
    <mergeCell ref="AU52:AV54"/>
    <mergeCell ref="AC51:AF51"/>
    <mergeCell ref="AI55:AJ55"/>
    <mergeCell ref="AG55:AH55"/>
    <mergeCell ref="AQ55:AR55"/>
    <mergeCell ref="AO55:AP55"/>
    <mergeCell ref="AM55:AN55"/>
    <mergeCell ref="AK55:AL55"/>
    <mergeCell ref="AI52:AJ54"/>
    <mergeCell ref="AG52:AH54"/>
    <mergeCell ref="AQ52:AR54"/>
    <mergeCell ref="AO52:AP54"/>
    <mergeCell ref="AM52:AN54"/>
    <mergeCell ref="BI52:BJ54"/>
    <mergeCell ref="BG52:BH54"/>
    <mergeCell ref="BE52:BF54"/>
    <mergeCell ref="BC52:BD54"/>
    <mergeCell ref="AY52:AZ54"/>
    <mergeCell ref="BI55:BJ55"/>
    <mergeCell ref="BG57:BH57"/>
    <mergeCell ref="BI57:BJ57"/>
    <mergeCell ref="BG58:BH58"/>
    <mergeCell ref="BI58:BJ58"/>
    <mergeCell ref="BG55:BH55"/>
    <mergeCell ref="BA46:BB54"/>
    <mergeCell ref="BC58:BF58"/>
    <mergeCell ref="AY58:AZ58"/>
    <mergeCell ref="BE55:BF55"/>
    <mergeCell ref="BC55:BD55"/>
    <mergeCell ref="AW46:AZ50"/>
    <mergeCell ref="W8:Z8"/>
    <mergeCell ref="W4:Z4"/>
    <mergeCell ref="AW55:AX55"/>
    <mergeCell ref="AY55:AZ55"/>
    <mergeCell ref="BC57:BD57"/>
    <mergeCell ref="BE57:BF57"/>
    <mergeCell ref="AW61:AX61"/>
    <mergeCell ref="AY61:AZ61"/>
    <mergeCell ref="AW57:AX57"/>
    <mergeCell ref="BC46:BF50"/>
    <mergeCell ref="BC61:BF61"/>
    <mergeCell ref="AS57:AT57"/>
    <mergeCell ref="AU57:AV57"/>
    <mergeCell ref="AE57:AF57"/>
    <mergeCell ref="AG57:AH57"/>
    <mergeCell ref="W57:X57"/>
    <mergeCell ref="Y57:Z57"/>
    <mergeCell ref="AA57:AB57"/>
    <mergeCell ref="AC57:AD57"/>
    <mergeCell ref="AM57:AN57"/>
    <mergeCell ref="AO57:AP57"/>
    <mergeCell ref="AE52:AF54"/>
    <mergeCell ref="AG59:AH59"/>
    <mergeCell ref="AA58:AB58"/>
    <mergeCell ref="AD4:AE4"/>
    <mergeCell ref="AD7:AE7"/>
    <mergeCell ref="AD8:AE8"/>
    <mergeCell ref="AA7:AC7"/>
    <mergeCell ref="AD11:AE11"/>
    <mergeCell ref="AA4:AC4"/>
    <mergeCell ref="AA3:AC3"/>
    <mergeCell ref="AA8:AC8"/>
    <mergeCell ref="AA11:AC11"/>
    <mergeCell ref="AW75:AZ75"/>
    <mergeCell ref="BA73:BB73"/>
    <mergeCell ref="A10:B10"/>
    <mergeCell ref="J11:K12"/>
    <mergeCell ref="E13:I14"/>
    <mergeCell ref="A25:D25"/>
    <mergeCell ref="A15:D15"/>
    <mergeCell ref="A16:D16"/>
    <mergeCell ref="A19:D19"/>
    <mergeCell ref="A20:D20"/>
    <mergeCell ref="J23:K24"/>
    <mergeCell ref="E23:I24"/>
    <mergeCell ref="A11:D12"/>
    <mergeCell ref="W19:Z19"/>
    <mergeCell ref="AD19:AE19"/>
    <mergeCell ref="AD16:AE16"/>
    <mergeCell ref="AA15:AC15"/>
    <mergeCell ref="AD15:AE15"/>
    <mergeCell ref="A23:D23"/>
    <mergeCell ref="AD24:AE24"/>
    <mergeCell ref="AK68:AR68"/>
    <mergeCell ref="AK69:AR69"/>
    <mergeCell ref="AQ74:AR74"/>
    <mergeCell ref="AG73:AJ73"/>
    <mergeCell ref="BM74:BN74"/>
    <mergeCell ref="A40:Q40"/>
    <mergeCell ref="A26:D26"/>
    <mergeCell ref="AG46:AJ50"/>
    <mergeCell ref="AY57:AZ57"/>
    <mergeCell ref="BA58:BB58"/>
    <mergeCell ref="BA67:BB67"/>
    <mergeCell ref="AW65:AZ65"/>
    <mergeCell ref="BA75:BB75"/>
    <mergeCell ref="U46:X50"/>
    <mergeCell ref="Y46:AF50"/>
    <mergeCell ref="BA59:BB59"/>
    <mergeCell ref="U66:X66"/>
    <mergeCell ref="AQ61:AR61"/>
    <mergeCell ref="AO61:AP61"/>
    <mergeCell ref="AG61:AH61"/>
    <mergeCell ref="AI61:AJ61"/>
    <mergeCell ref="BA70:BB70"/>
    <mergeCell ref="BA71:BB71"/>
    <mergeCell ref="U71:V71"/>
    <mergeCell ref="U68:X68"/>
    <mergeCell ref="AU55:AV55"/>
    <mergeCell ref="AS55:AT55"/>
    <mergeCell ref="BA74:BB74"/>
    <mergeCell ref="J15:K16"/>
    <mergeCell ref="J17:K18"/>
    <mergeCell ref="E25:I26"/>
    <mergeCell ref="BA62:BB62"/>
    <mergeCell ref="AS62:AV62"/>
    <mergeCell ref="BO78:BP78"/>
    <mergeCell ref="BC63:BF63"/>
    <mergeCell ref="BE62:BF62"/>
    <mergeCell ref="BK67:BN67"/>
    <mergeCell ref="BC66:BF66"/>
    <mergeCell ref="BK69:BN69"/>
    <mergeCell ref="BA63:BB63"/>
    <mergeCell ref="AW64:AZ64"/>
    <mergeCell ref="BC74:BF74"/>
    <mergeCell ref="BC73:BF73"/>
    <mergeCell ref="AW69:AZ69"/>
    <mergeCell ref="AW70:AZ70"/>
    <mergeCell ref="AW73:AZ73"/>
    <mergeCell ref="AY78:AZ78"/>
    <mergeCell ref="AW62:AZ62"/>
    <mergeCell ref="AW63:AZ63"/>
    <mergeCell ref="AK46:AR50"/>
    <mergeCell ref="AS46:AV50"/>
    <mergeCell ref="BC62:BD62"/>
    <mergeCell ref="W1:AF1"/>
    <mergeCell ref="Y67:AF67"/>
    <mergeCell ref="U64:X64"/>
    <mergeCell ref="U65:X65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W3:Z3"/>
    <mergeCell ref="W7:Z7"/>
    <mergeCell ref="AD3:AE3"/>
    <mergeCell ref="C123:G123"/>
    <mergeCell ref="J106:J110"/>
    <mergeCell ref="Y128:AA128"/>
    <mergeCell ref="AB128:AC128"/>
    <mergeCell ref="Y84:AF84"/>
    <mergeCell ref="V110:Z110"/>
    <mergeCell ref="AB110:AC110"/>
    <mergeCell ref="A77:F77"/>
    <mergeCell ref="A79:F79"/>
    <mergeCell ref="U82:X82"/>
    <mergeCell ref="U79:X79"/>
    <mergeCell ref="C115:G115"/>
    <mergeCell ref="AC78:AD78"/>
    <mergeCell ref="AE78:AF78"/>
    <mergeCell ref="E11:I12"/>
    <mergeCell ref="A28:D28"/>
    <mergeCell ref="J13:K14"/>
    <mergeCell ref="J19:K20"/>
    <mergeCell ref="J21:K22"/>
    <mergeCell ref="L11:V12"/>
    <mergeCell ref="A59:F59"/>
    <mergeCell ref="U59:V59"/>
    <mergeCell ref="W59:X59"/>
    <mergeCell ref="W52:X54"/>
    <mergeCell ref="A27:D27"/>
    <mergeCell ref="E27:I28"/>
    <mergeCell ref="A21:D21"/>
    <mergeCell ref="A17:D17"/>
    <mergeCell ref="A18:D18"/>
    <mergeCell ref="W11:Z11"/>
    <mergeCell ref="U57:V57"/>
    <mergeCell ref="Y58:Z58"/>
    <mergeCell ref="A41:Q41"/>
    <mergeCell ref="A39:L39"/>
    <mergeCell ref="A13:D14"/>
    <mergeCell ref="W23:AB23"/>
    <mergeCell ref="X24:AB24"/>
    <mergeCell ref="AA20:AC20"/>
    <mergeCell ref="BK82:BN82"/>
    <mergeCell ref="BA83:BB83"/>
    <mergeCell ref="BC83:BF83"/>
    <mergeCell ref="A60:F60"/>
    <mergeCell ref="A61:F61"/>
    <mergeCell ref="AD20:AE20"/>
    <mergeCell ref="AC55:AD55"/>
    <mergeCell ref="AA55:AB55"/>
    <mergeCell ref="Y55:Z55"/>
    <mergeCell ref="J46:J55"/>
    <mergeCell ref="Y59:Z59"/>
    <mergeCell ref="AA59:AB59"/>
    <mergeCell ref="AC59:AF59"/>
    <mergeCell ref="Y51:AB51"/>
    <mergeCell ref="Y73:AF73"/>
    <mergeCell ref="Y70:AF70"/>
    <mergeCell ref="Y68:AF68"/>
    <mergeCell ref="U70:X70"/>
    <mergeCell ref="U73:X73"/>
    <mergeCell ref="A68:F68"/>
    <mergeCell ref="A69:F69"/>
    <mergeCell ref="U72:X72"/>
    <mergeCell ref="W71:X71"/>
    <mergeCell ref="A22:D22"/>
    <mergeCell ref="BT39:BU39"/>
    <mergeCell ref="BK73:BN73"/>
    <mergeCell ref="BK75:BN75"/>
    <mergeCell ref="BG70:BJ70"/>
    <mergeCell ref="BG73:BJ73"/>
    <mergeCell ref="BG75:BJ75"/>
    <mergeCell ref="AS78:AT78"/>
    <mergeCell ref="BO46:BP54"/>
    <mergeCell ref="BO55:BP55"/>
    <mergeCell ref="BO58:BP58"/>
    <mergeCell ref="BO68:BP68"/>
    <mergeCell ref="BO62:BP62"/>
    <mergeCell ref="BO63:BP63"/>
    <mergeCell ref="BO64:BP64"/>
    <mergeCell ref="BO61:BP61"/>
    <mergeCell ref="BA78:BB78"/>
    <mergeCell ref="BC67:BF67"/>
    <mergeCell ref="BA66:BB66"/>
    <mergeCell ref="BC69:BF69"/>
    <mergeCell ref="BC70:BF70"/>
    <mergeCell ref="BA69:BB69"/>
    <mergeCell ref="BK65:BN65"/>
    <mergeCell ref="BK63:BN63"/>
    <mergeCell ref="BG72:BJ72"/>
    <mergeCell ref="EV619:FA619"/>
    <mergeCell ref="EV618:FA618"/>
    <mergeCell ref="EV612:FA612"/>
    <mergeCell ref="EV613:FA613"/>
    <mergeCell ref="EV614:FA614"/>
    <mergeCell ref="EV615:FA615"/>
    <mergeCell ref="EV616:FA616"/>
    <mergeCell ref="EV617:FA617"/>
    <mergeCell ref="BM79:BN79"/>
    <mergeCell ref="BZ109:CF109"/>
    <mergeCell ref="BZ99:CF99"/>
    <mergeCell ref="BZ107:CF107"/>
    <mergeCell ref="BZ108:CF108"/>
    <mergeCell ref="BX107:BY107"/>
    <mergeCell ref="BX96:BY96"/>
    <mergeCell ref="BX109:BY109"/>
    <mergeCell ref="BV106:BW106"/>
    <mergeCell ref="BX106:BY106"/>
    <mergeCell ref="BV98:BW98"/>
    <mergeCell ref="EV608:FA608"/>
    <mergeCell ref="EV610:FA610"/>
    <mergeCell ref="EV611:FA611"/>
    <mergeCell ref="EV609:FA609"/>
    <mergeCell ref="EK598:EM598"/>
    <mergeCell ref="EV600:FA600"/>
    <mergeCell ref="EV601:FA601"/>
    <mergeCell ref="EV602:FA602"/>
    <mergeCell ref="EV603:FA603"/>
    <mergeCell ref="EV604:FA604"/>
    <mergeCell ref="EV605:FA605"/>
    <mergeCell ref="EV606:FA606"/>
    <mergeCell ref="EV607:FA607"/>
    <mergeCell ref="AK52:AL54"/>
    <mergeCell ref="BO65:BP65"/>
    <mergeCell ref="BO66:BP66"/>
    <mergeCell ref="BO67:BP67"/>
    <mergeCell ref="BX69:BY69"/>
    <mergeCell ref="BO74:BP74"/>
    <mergeCell ref="BO75:BP75"/>
    <mergeCell ref="BK70:BN70"/>
    <mergeCell ref="BX68:BY68"/>
    <mergeCell ref="BV68:BW68"/>
    <mergeCell ref="BX73:BY73"/>
    <mergeCell ref="BX71:BY71"/>
    <mergeCell ref="BX74:BY74"/>
    <mergeCell ref="BO69:BP69"/>
    <mergeCell ref="BO70:BP70"/>
    <mergeCell ref="BO71:BP71"/>
    <mergeCell ref="AS52:AT54"/>
    <mergeCell ref="AE55:AF55"/>
    <mergeCell ref="BA55:BB55"/>
    <mergeCell ref="BA82:BB82"/>
    <mergeCell ref="X25:AB25"/>
    <mergeCell ref="Y77:AF77"/>
    <mergeCell ref="AG77:AJ77"/>
    <mergeCell ref="AC76:AD76"/>
    <mergeCell ref="AE76:AF76"/>
    <mergeCell ref="AG76:AH76"/>
    <mergeCell ref="AI76:AJ76"/>
    <mergeCell ref="AA61:AB61"/>
    <mergeCell ref="AA62:AB62"/>
    <mergeCell ref="Y62:Z62"/>
    <mergeCell ref="Y61:Z61"/>
    <mergeCell ref="AE79:AF79"/>
    <mergeCell ref="AG68:AJ68"/>
    <mergeCell ref="AG69:AJ69"/>
    <mergeCell ref="AO51:AR51"/>
    <mergeCell ref="AK51:AN51"/>
    <mergeCell ref="AU78:AV78"/>
    <mergeCell ref="BA60:BB60"/>
    <mergeCell ref="BA76:BB76"/>
    <mergeCell ref="AW72:AZ72"/>
    <mergeCell ref="BV47:BY47"/>
    <mergeCell ref="BV48:BY48"/>
    <mergeCell ref="BV49:BY49"/>
    <mergeCell ref="BV50:BY50"/>
    <mergeCell ref="BK59:BL59"/>
    <mergeCell ref="BK60:BL60"/>
    <mergeCell ref="BM59:BN59"/>
    <mergeCell ref="BM60:BN60"/>
    <mergeCell ref="BK62:BN62"/>
    <mergeCell ref="BM61:BN61"/>
    <mergeCell ref="BK61:BL61"/>
    <mergeCell ref="BM55:BN55"/>
    <mergeCell ref="BM57:BN57"/>
    <mergeCell ref="BX58:BY58"/>
    <mergeCell ref="BV51:BY51"/>
    <mergeCell ref="BV52:BY52"/>
    <mergeCell ref="BV54:BY54"/>
    <mergeCell ref="BV55:BY55"/>
    <mergeCell ref="BO59:BP59"/>
    <mergeCell ref="BX59:BY59"/>
    <mergeCell ref="BK57:BL57"/>
    <mergeCell ref="BX60:BY60"/>
    <mergeCell ref="BX61:BY61"/>
    <mergeCell ref="BK79:BL79"/>
    <mergeCell ref="BV79:BW79"/>
    <mergeCell ref="BO79:BP79"/>
    <mergeCell ref="BA79:BB79"/>
    <mergeCell ref="BC78:BF78"/>
    <mergeCell ref="C139:G139"/>
    <mergeCell ref="K106:K110"/>
    <mergeCell ref="Y82:AF82"/>
    <mergeCell ref="AG82:AJ82"/>
    <mergeCell ref="AG78:AH78"/>
    <mergeCell ref="AI78:AJ78"/>
    <mergeCell ref="AG79:AH79"/>
    <mergeCell ref="AI79:AJ79"/>
    <mergeCell ref="AS83:AV83"/>
    <mergeCell ref="AS82:AV82"/>
    <mergeCell ref="U84:X84"/>
    <mergeCell ref="C110:F110"/>
    <mergeCell ref="AV116:AX116"/>
    <mergeCell ref="AS84:AV84"/>
    <mergeCell ref="AW84:AZ84"/>
    <mergeCell ref="AV112:AX112"/>
    <mergeCell ref="AL111:AM111"/>
    <mergeCell ref="AL112:AM112"/>
    <mergeCell ref="AL113:AM113"/>
    <mergeCell ref="AW83:AZ83"/>
    <mergeCell ref="AW82:AZ82"/>
    <mergeCell ref="C128:G128"/>
    <mergeCell ref="BG77:BJ77"/>
    <mergeCell ref="BG68:BJ68"/>
    <mergeCell ref="BG69:BJ69"/>
    <mergeCell ref="BC72:BF72"/>
    <mergeCell ref="BC68:BF68"/>
    <mergeCell ref="BC71:BF71"/>
    <mergeCell ref="BG78:BH78"/>
    <mergeCell ref="BI78:BJ78"/>
    <mergeCell ref="BG79:BH79"/>
    <mergeCell ref="BI79:BJ79"/>
    <mergeCell ref="BC79:BF79"/>
    <mergeCell ref="AZ111:BC111"/>
    <mergeCell ref="AY79:AZ79"/>
    <mergeCell ref="L123:O123"/>
    <mergeCell ref="P123:Q123"/>
    <mergeCell ref="C125:G125"/>
    <mergeCell ref="C126:G126"/>
    <mergeCell ref="C127:G127"/>
    <mergeCell ref="C120:G120"/>
    <mergeCell ref="C121:G121"/>
    <mergeCell ref="C122:G122"/>
    <mergeCell ref="BG63:BJ63"/>
    <mergeCell ref="BG64:BJ64"/>
    <mergeCell ref="BG62:BJ62"/>
    <mergeCell ref="BC77:BD77"/>
    <mergeCell ref="BG74:BH74"/>
    <mergeCell ref="BG66:BJ66"/>
    <mergeCell ref="BG67:BJ67"/>
    <mergeCell ref="BC65:BF65"/>
    <mergeCell ref="BC75:BF75"/>
    <mergeCell ref="BC64:BF64"/>
    <mergeCell ref="BG65:BJ65"/>
    <mergeCell ref="BC76:BF76"/>
    <mergeCell ref="BK66:BN66"/>
    <mergeCell ref="BK72:BN72"/>
    <mergeCell ref="BK68:BN68"/>
    <mergeCell ref="BK64:BN64"/>
    <mergeCell ref="BC59:BF59"/>
    <mergeCell ref="BG59:BJ59"/>
    <mergeCell ref="U76:V76"/>
    <mergeCell ref="W76:X76"/>
    <mergeCell ref="BI74:BJ74"/>
    <mergeCell ref="BG71:BH71"/>
    <mergeCell ref="BA68:BB68"/>
    <mergeCell ref="BA65:BB65"/>
    <mergeCell ref="BA64:BB64"/>
    <mergeCell ref="AS75:AV75"/>
    <mergeCell ref="AK59:AR59"/>
    <mergeCell ref="AS63:AV63"/>
    <mergeCell ref="AS64:AV64"/>
    <mergeCell ref="AS67:AV67"/>
    <mergeCell ref="AS68:AV68"/>
    <mergeCell ref="AS69:AV69"/>
    <mergeCell ref="AS70:AV70"/>
    <mergeCell ref="AS73:AV73"/>
    <mergeCell ref="AS61:AT61"/>
    <mergeCell ref="AU61:AV61"/>
    <mergeCell ref="BC60:BF60"/>
    <mergeCell ref="BG60:BJ60"/>
    <mergeCell ref="BO60:BP60"/>
    <mergeCell ref="AS59:AT59"/>
    <mergeCell ref="AU59:AV59"/>
    <mergeCell ref="AS60:AT60"/>
    <mergeCell ref="AU60:AV60"/>
    <mergeCell ref="AG60:AH60"/>
    <mergeCell ref="AI59:AJ59"/>
    <mergeCell ref="AI60:AJ60"/>
    <mergeCell ref="AW59:AZ59"/>
    <mergeCell ref="AW60:AZ60"/>
    <mergeCell ref="AK60:AR60"/>
    <mergeCell ref="BV103:BW103"/>
    <mergeCell ref="BX103:BY103"/>
    <mergeCell ref="BZ103:CF103"/>
    <mergeCell ref="BZ80:CF80"/>
    <mergeCell ref="BZ85:CF85"/>
    <mergeCell ref="BV76:BW76"/>
    <mergeCell ref="BX98:BY98"/>
    <mergeCell ref="BV93:BW93"/>
    <mergeCell ref="BX79:BY79"/>
    <mergeCell ref="BX80:BY80"/>
    <mergeCell ref="BZ96:CF96"/>
    <mergeCell ref="BZ95:CF95"/>
    <mergeCell ref="BZ98:CF98"/>
    <mergeCell ref="BZ100:CF100"/>
    <mergeCell ref="BX81:BY81"/>
    <mergeCell ref="BX85:BY85"/>
    <mergeCell ref="BX86:BY86"/>
    <mergeCell ref="BX89:BY89"/>
    <mergeCell ref="BZ76:CF76"/>
    <mergeCell ref="BZ77:CF77"/>
    <mergeCell ref="BX77:BY77"/>
    <mergeCell ref="BX76:BY76"/>
    <mergeCell ref="BZ82:CF82"/>
    <mergeCell ref="BX63:BY63"/>
    <mergeCell ref="BZ63:CF63"/>
    <mergeCell ref="BX64:BY64"/>
    <mergeCell ref="BZ64:CF64"/>
    <mergeCell ref="CH63:CI63"/>
    <mergeCell ref="CH64:CI64"/>
    <mergeCell ref="CH65:CI65"/>
    <mergeCell ref="CH67:CI67"/>
    <mergeCell ref="BV73:BW73"/>
    <mergeCell ref="CH74:CI75"/>
    <mergeCell ref="CH77:CI78"/>
    <mergeCell ref="BX65:BY65"/>
    <mergeCell ref="BZ65:CF65"/>
    <mergeCell ref="CJ74:CK75"/>
    <mergeCell ref="BZ69:CF69"/>
    <mergeCell ref="BZ70:CF70"/>
    <mergeCell ref="BZ68:CF68"/>
    <mergeCell ref="CH68:CI68"/>
    <mergeCell ref="CH69:CI69"/>
    <mergeCell ref="BZ71:CF71"/>
    <mergeCell ref="BZ75:CF75"/>
    <mergeCell ref="BZ73:CF73"/>
    <mergeCell ref="CJ71:CK71"/>
    <mergeCell ref="CJ72:CK73"/>
    <mergeCell ref="CH72:CI73"/>
    <mergeCell ref="BZ74:CF74"/>
    <mergeCell ref="CH70:CI70"/>
    <mergeCell ref="CJ77:CK78"/>
    <mergeCell ref="CH71:CI71"/>
    <mergeCell ref="BX75:BY75"/>
    <mergeCell ref="CL74:CR75"/>
    <mergeCell ref="CL82:CR83"/>
    <mergeCell ref="CL72:CR73"/>
    <mergeCell ref="CL71:CR71"/>
    <mergeCell ref="CL63:CR63"/>
    <mergeCell ref="CL64:CR64"/>
    <mergeCell ref="BV107:BW107"/>
    <mergeCell ref="BV109:BW109"/>
    <mergeCell ref="BV94:BW94"/>
    <mergeCell ref="BV95:BW95"/>
    <mergeCell ref="BV96:BW96"/>
    <mergeCell ref="BV89:BW89"/>
    <mergeCell ref="BV90:BW90"/>
    <mergeCell ref="BV91:BW91"/>
    <mergeCell ref="BV69:BW69"/>
    <mergeCell ref="BV70:BW70"/>
    <mergeCell ref="BV71:BW71"/>
    <mergeCell ref="BV80:BW80"/>
    <mergeCell ref="BV81:BW81"/>
    <mergeCell ref="BV85:BW85"/>
    <mergeCell ref="BV86:BW86"/>
    <mergeCell ref="BV99:BW99"/>
    <mergeCell ref="BV100:BW100"/>
    <mergeCell ref="BV74:BW74"/>
    <mergeCell ref="CL67:CR67"/>
    <mergeCell ref="CL68:CR68"/>
    <mergeCell ref="CL69:CR69"/>
    <mergeCell ref="CN65:CR65"/>
    <mergeCell ref="CL65:CM65"/>
    <mergeCell ref="CL66:CM66"/>
    <mergeCell ref="CN66:CO66"/>
    <mergeCell ref="CL70:CR70"/>
    <mergeCell ref="CH58:CI62"/>
    <mergeCell ref="CJ58:CK62"/>
    <mergeCell ref="CJ63:CK63"/>
    <mergeCell ref="CJ64:CK64"/>
    <mergeCell ref="CJ65:CK65"/>
    <mergeCell ref="CJ67:CK67"/>
    <mergeCell ref="CJ68:CK68"/>
    <mergeCell ref="CJ69:CK69"/>
    <mergeCell ref="CJ70:CK70"/>
    <mergeCell ref="CJ66:CK66"/>
    <mergeCell ref="CH66:CI66"/>
    <mergeCell ref="CL77:CR78"/>
    <mergeCell ref="CH82:CI83"/>
    <mergeCell ref="CJ82:CK83"/>
    <mergeCell ref="CH81:CI81"/>
    <mergeCell ref="CJ81:CK81"/>
    <mergeCell ref="CL81:CM81"/>
    <mergeCell ref="CN81:CR81"/>
    <mergeCell ref="CH80:CI80"/>
    <mergeCell ref="CJ80:CK80"/>
    <mergeCell ref="CL80:CR80"/>
    <mergeCell ref="CH85:CI85"/>
    <mergeCell ref="CJ85:CK85"/>
    <mergeCell ref="CH86:CI86"/>
    <mergeCell ref="CJ86:CK86"/>
    <mergeCell ref="CH87:CI87"/>
    <mergeCell ref="CJ87:CK87"/>
    <mergeCell ref="CH90:CI91"/>
    <mergeCell ref="CJ90:CK91"/>
    <mergeCell ref="CL86:CP86"/>
    <mergeCell ref="CL85:CP85"/>
    <mergeCell ref="CL87:CP87"/>
    <mergeCell ref="CL90:CP91"/>
    <mergeCell ref="BV84:BW84"/>
    <mergeCell ref="BX84:BY84"/>
    <mergeCell ref="BV77:BW77"/>
    <mergeCell ref="BV75:BW75"/>
    <mergeCell ref="BZ91:CF91"/>
    <mergeCell ref="BZ90:CF90"/>
    <mergeCell ref="BZ86:CF86"/>
    <mergeCell ref="BV102:BW102"/>
    <mergeCell ref="BX102:BY102"/>
    <mergeCell ref="BZ102:CF102"/>
    <mergeCell ref="BZ89:CF89"/>
    <mergeCell ref="BZ94:CF94"/>
    <mergeCell ref="BZ93:CF93"/>
    <mergeCell ref="BX99:BY99"/>
    <mergeCell ref="BX100:BY100"/>
    <mergeCell ref="BX93:BY93"/>
    <mergeCell ref="BZ81:CF81"/>
    <mergeCell ref="BZ79:CF79"/>
    <mergeCell ref="BZ84:CF84"/>
    <mergeCell ref="BZ88:CF88"/>
    <mergeCell ref="BX90:BY90"/>
    <mergeCell ref="BX91:BY91"/>
    <mergeCell ref="BX94:BY94"/>
    <mergeCell ref="BX95:BY95"/>
    <mergeCell ref="ET149:EV161"/>
    <mergeCell ref="ET162:EV168"/>
    <mergeCell ref="ET175:EV178"/>
    <mergeCell ref="ET146:EV147"/>
    <mergeCell ref="ET169:EV174"/>
    <mergeCell ref="BV104:BW104"/>
    <mergeCell ref="BX104:BY104"/>
    <mergeCell ref="BZ104:CF104"/>
    <mergeCell ref="CH88:CI88"/>
    <mergeCell ref="CH89:CI89"/>
    <mergeCell ref="CJ88:CK88"/>
    <mergeCell ref="CJ89:CK89"/>
    <mergeCell ref="BX108:BY108"/>
    <mergeCell ref="BV108:BW108"/>
    <mergeCell ref="ET117:EV121"/>
    <mergeCell ref="ET86:EV92"/>
    <mergeCell ref="BZ106:CF106"/>
    <mergeCell ref="BV88:BW88"/>
    <mergeCell ref="BX88:BY88"/>
    <mergeCell ref="ET122:EV143"/>
    <mergeCell ref="ET93:EV105"/>
    <mergeCell ref="ET110:EV115"/>
    <mergeCell ref="ET106:EV109"/>
    <mergeCell ref="ET116:EV116"/>
  </mergeCells>
  <phoneticPr fontId="5" type="noConversion"/>
  <conditionalFormatting sqref="D29:I29">
    <cfRule type="expression" dxfId="41" priority="152">
      <formula>IF($H$111=0,$I$111=0)</formula>
    </cfRule>
  </conditionalFormatting>
  <conditionalFormatting sqref="G29 D30">
    <cfRule type="expression" dxfId="40" priority="88">
      <formula>IF($H$111=0,$I$111=0)</formula>
    </cfRule>
  </conditionalFormatting>
  <conditionalFormatting sqref="I30">
    <cfRule type="expression" dxfId="39" priority="87">
      <formula>IF($H$111=0,$I$111=0)</formula>
    </cfRule>
  </conditionalFormatting>
  <conditionalFormatting sqref="J25:S25">
    <cfRule type="expression" dxfId="38" priority="159">
      <formula>IF($J$111=1,FALSE,IF($J$56&lt;&gt;2,FALSE,IF($G$110=1,FALSE,TRUE)))</formula>
    </cfRule>
  </conditionalFormatting>
  <conditionalFormatting sqref="M26">
    <cfRule type="expression" dxfId="37" priority="160">
      <formula>IF($J$111=1,FALSE,IF($J$56&lt;&gt;2,FALSE,IF($G$110=1,FALSE,TRUE)))</formula>
    </cfRule>
  </conditionalFormatting>
  <conditionalFormatting sqref="S26">
    <cfRule type="expression" dxfId="36" priority="161">
      <formula>IF($J$111=1,FALSE,IF($J$56&lt;&gt;2,FALSE,IF($G$110=1,FALSE,TRUE)))</formula>
    </cfRule>
  </conditionalFormatting>
  <conditionalFormatting sqref="X17:AE17 X21:AE21">
    <cfRule type="expression" dxfId="35" priority="90">
      <formula>$E$150=0</formula>
    </cfRule>
  </conditionalFormatting>
  <conditionalFormatting sqref="AG24:AH24">
    <cfRule type="expression" dxfId="34" priority="35">
      <formula>IF(AND($H$111=0,$I$111=0),TRUE,FALSE)</formula>
    </cfRule>
  </conditionalFormatting>
  <conditionalFormatting sqref="AG30:AH30">
    <cfRule type="expression" dxfId="33" priority="32">
      <formula>IF(AND($H$111=0,$I$111=0),TRUE,FALSE)</formula>
    </cfRule>
  </conditionalFormatting>
  <conditionalFormatting sqref="AG35:AH35">
    <cfRule type="expression" dxfId="32" priority="33">
      <formula>IF(AND($H$111=0,$I$111=0),TRUE,FALSE)</formula>
    </cfRule>
  </conditionalFormatting>
  <conditionalFormatting sqref="AH36">
    <cfRule type="expression" dxfId="31" priority="151">
      <formula>IF(AND($H$111=0,$I$111=0,#REF!=1),TRUE,FALSE)</formula>
    </cfRule>
  </conditionalFormatting>
  <conditionalFormatting sqref="AI25:AI35">
    <cfRule type="expression" dxfId="30" priority="34">
      <formula>IF(AND($H$111=0,$I$111=0),TRUE,FALSE)</formula>
    </cfRule>
  </conditionalFormatting>
  <conditionalFormatting sqref="BV59:BW59">
    <cfRule type="expression" dxfId="29" priority="4">
      <formula>$E$17=$BA$112</formula>
    </cfRule>
  </conditionalFormatting>
  <conditionalFormatting sqref="BV60:BW60">
    <cfRule type="expression" dxfId="28" priority="3">
      <formula>$E$17=$BA$113</formula>
    </cfRule>
  </conditionalFormatting>
  <conditionalFormatting sqref="BV61:BW61">
    <cfRule type="expression" dxfId="27" priority="2">
      <formula>$E$17=$BA$114</formula>
    </cfRule>
  </conditionalFormatting>
  <conditionalFormatting sqref="BV64:BW64">
    <cfRule type="expression" dxfId="26" priority="31">
      <formula>$E$15=$BA$119</formula>
    </cfRule>
  </conditionalFormatting>
  <conditionalFormatting sqref="BV65:BW65">
    <cfRule type="expression" dxfId="25" priority="30">
      <formula>$E$15=$A$120</formula>
    </cfRule>
  </conditionalFormatting>
  <conditionalFormatting sqref="BV66:BW66">
    <cfRule type="expression" dxfId="24" priority="29">
      <formula>$E$15=$BA$121</formula>
    </cfRule>
  </conditionalFormatting>
  <conditionalFormatting sqref="BV69:BW69">
    <cfRule type="expression" dxfId="23" priority="28">
      <formula>$K$56=0</formula>
    </cfRule>
  </conditionalFormatting>
  <conditionalFormatting sqref="BV70:BW70">
    <cfRule type="expression" dxfId="22" priority="27">
      <formula>$K$56=1</formula>
    </cfRule>
  </conditionalFormatting>
  <conditionalFormatting sqref="BV71:BW71">
    <cfRule type="expression" dxfId="21" priority="26">
      <formula>$K$56=2</formula>
    </cfRule>
  </conditionalFormatting>
  <conditionalFormatting sqref="BV74:BW74">
    <cfRule type="expression" priority="25">
      <formula>$L$56=0</formula>
    </cfRule>
  </conditionalFormatting>
  <conditionalFormatting sqref="BV75:BW75">
    <cfRule type="expression" dxfId="20" priority="24">
      <formula>$L$56=1</formula>
    </cfRule>
  </conditionalFormatting>
  <conditionalFormatting sqref="BV76:BW76">
    <cfRule type="expression" dxfId="19" priority="23">
      <formula>$L$56=2</formula>
    </cfRule>
  </conditionalFormatting>
  <conditionalFormatting sqref="BV77:BW77">
    <cfRule type="expression" dxfId="18" priority="22">
      <formula>$L$56=3</formula>
    </cfRule>
  </conditionalFormatting>
  <conditionalFormatting sqref="BV80:BW80">
    <cfRule type="expression" dxfId="17" priority="21">
      <formula>$M$56=0</formula>
    </cfRule>
  </conditionalFormatting>
  <conditionalFormatting sqref="BV81:BW81">
    <cfRule type="expression" dxfId="16" priority="20">
      <formula>$M$56=1</formula>
    </cfRule>
  </conditionalFormatting>
  <conditionalFormatting sqref="BV82:BW82">
    <cfRule type="expression" dxfId="15" priority="1">
      <formula>$M$56=2</formula>
    </cfRule>
  </conditionalFormatting>
  <conditionalFormatting sqref="BV85:BW85">
    <cfRule type="expression" dxfId="14" priority="19">
      <formula>$N$56=0</formula>
    </cfRule>
  </conditionalFormatting>
  <conditionalFormatting sqref="BV86:BW86">
    <cfRule type="expression" dxfId="13" priority="18">
      <formula>$N$56=1</formula>
    </cfRule>
  </conditionalFormatting>
  <conditionalFormatting sqref="BV89:BW89">
    <cfRule type="expression" dxfId="12" priority="17">
      <formula>$O$56=0</formula>
    </cfRule>
  </conditionalFormatting>
  <conditionalFormatting sqref="BV90:BW90">
    <cfRule type="expression" dxfId="11" priority="16">
      <formula>$O$56=1</formula>
    </cfRule>
  </conditionalFormatting>
  <conditionalFormatting sqref="BV91:BW91">
    <cfRule type="expression" dxfId="10" priority="15">
      <formula>$O$56=2</formula>
    </cfRule>
  </conditionalFormatting>
  <conditionalFormatting sqref="BV94:BW94">
    <cfRule type="expression" dxfId="9" priority="14">
      <formula>$P$56=0</formula>
    </cfRule>
  </conditionalFormatting>
  <conditionalFormatting sqref="BV95:BW95">
    <cfRule type="expression" dxfId="8" priority="13">
      <formula>$P$56=1</formula>
    </cfRule>
  </conditionalFormatting>
  <conditionalFormatting sqref="BV96:BW96">
    <cfRule type="expression" dxfId="7" priority="12">
      <formula>$P$56=2</formula>
    </cfRule>
  </conditionalFormatting>
  <conditionalFormatting sqref="BV99:BW99">
    <cfRule type="expression" dxfId="6" priority="11">
      <formula>$Q$56=0</formula>
    </cfRule>
  </conditionalFormatting>
  <conditionalFormatting sqref="BV100:BW100">
    <cfRule type="expression" dxfId="5" priority="10">
      <formula>$Q$56=1</formula>
    </cfRule>
  </conditionalFormatting>
  <conditionalFormatting sqref="BV103:BW103">
    <cfRule type="expression" dxfId="4" priority="9">
      <formula>$R$56=0</formula>
    </cfRule>
  </conditionalFormatting>
  <conditionalFormatting sqref="BV104:BW104">
    <cfRule type="expression" dxfId="3" priority="8">
      <formula>$R$56=1</formula>
    </cfRule>
  </conditionalFormatting>
  <conditionalFormatting sqref="BV107:BW107">
    <cfRule type="expression" dxfId="2" priority="7">
      <formula>$S$56=0</formula>
    </cfRule>
  </conditionalFormatting>
  <conditionalFormatting sqref="BV108:BW108">
    <cfRule type="expression" dxfId="1" priority="6">
      <formula>$S$56=1</formula>
    </cfRule>
  </conditionalFormatting>
  <conditionalFormatting sqref="BV109:BW109">
    <cfRule type="expression" dxfId="0" priority="5">
      <formula>$S$56=2</formula>
    </cfRule>
  </conditionalFormatting>
  <dataValidations count="13">
    <dataValidation type="list" allowBlank="1" showInputMessage="1" showErrorMessage="1" sqref="E11:I12" xr:uid="{150AF441-B5DA-4ED1-B636-7ABD5F5579D4}">
      <formula1>$BI$108:$BI$129</formula1>
    </dataValidation>
    <dataValidation type="list" allowBlank="1" showInputMessage="1" showErrorMessage="1" sqref="A2" xr:uid="{CCB5DC1D-4D6A-4E8E-870F-C5CFAF9BA7B7}">
      <formula1>$EX$66:$EY$66</formula1>
    </dataValidation>
    <dataValidation type="list" allowBlank="1" showInputMessage="1" showErrorMessage="1" sqref="H19:I20" xr:uid="{086832B1-A99F-4316-9AD1-5098E9FEDB84}">
      <formula1>IF($E$11=$A$75,AD100:AD100,AD99:AD100)</formula1>
    </dataValidation>
    <dataValidation type="list" allowBlank="1" showInputMessage="1" showErrorMessage="1" sqref="E17:I18" xr:uid="{8D15AC5F-B600-4A4B-A82F-ADC0595B8A8A}">
      <formula1>$BA$112:$BA$114</formula1>
    </dataValidation>
    <dataValidation type="list" allowBlank="1" showInputMessage="1" showErrorMessage="1" sqref="E21:I22" xr:uid="{FDEEA73E-116A-4D5B-887D-679C3FF66C85}">
      <formula1>IF($R$56=1,$BA$123:$BA$124,"")</formula1>
    </dataValidation>
    <dataValidation type="list" allowBlank="1" showInputMessage="1" showErrorMessage="1" sqref="AP112:AS112" xr:uid="{BB8F8389-0074-464E-AD31-3B1C1BF2F95A}">
      <formula1>$BA$117:$BA$118</formula1>
    </dataValidation>
    <dataValidation type="list" allowBlank="1" showInputMessage="1" showErrorMessage="1" sqref="E19:G20" xr:uid="{67A92035-1537-4A85-A6DE-B98802B9B54A}">
      <formula1>IF($E$11=$A$75,BA116:BA116,BA115:BA116)</formula1>
    </dataValidation>
    <dataValidation type="list" allowBlank="1" showInputMessage="1" showErrorMessage="1" sqref="AQ114:AR115" xr:uid="{D38D4164-66AF-4581-9D25-01F122D6169F}">
      <formula1>$BE$117:$BE$124</formula1>
    </dataValidation>
    <dataValidation type="list" allowBlank="1" showInputMessage="1" showErrorMessage="1" sqref="E15:I16" xr:uid="{FD5534A1-11FA-4A88-B274-FE53D3AA4A49}">
      <formula1>IF($T$56=1,$BA$119:$BA$121,$BA$119:$BA$120)</formula1>
    </dataValidation>
    <dataValidation type="list" allowBlank="1" showInputMessage="1" showErrorMessage="1" sqref="I27:I28" xr:uid="{FD94DAB4-0347-4E77-A7B7-9E5E0426BDF5}">
      <formula1>IF($E$17=$BA$112,AD99:AD112,IF($E$17=$BA$113,AD99:AD112,IF($E$17=$BA$114,AD99:AD112)))</formula1>
    </dataValidation>
    <dataValidation type="list" allowBlank="1" showInputMessage="1" showErrorMessage="1" sqref="E27:H27" xr:uid="{2A22E200-239F-4A0E-8406-849D9574B71A}">
      <formula1>IF($E$17=$BA$112,AZ112:AZ128,IF($E$17=$BA$113,AZ112:AZ128,IF($E$17=$BA$114,AZ113:AZ128)))</formula1>
    </dataValidation>
    <dataValidation type="list" allowBlank="1" showInputMessage="1" showErrorMessage="1" sqref="E28:G28" xr:uid="{5C40ED52-5F05-4837-BF97-0B1325F8D9CE}">
      <formula1>IF($E$17=$BA$112,Z99:Z99,IF($E$17=$BA$113,Z99:Z99,IF($E$17=$BA$114,Z99:Z99)))</formula1>
    </dataValidation>
    <dataValidation type="list" allowBlank="1" showInputMessage="1" showErrorMessage="1" sqref="H28" xr:uid="{42A7D371-96C7-4C3E-B61F-ABE6FFD4CD75}">
      <formula1>IF($E$17=$BA$112,AC99:AC109,IF($E$17=$BA$113,AC99:AC109,IF($E$17=$BA$114,AC99:AC109)))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Forest FES-rekenschema</vt:lpstr>
      <vt:lpstr>'Forest FES-rekenschema'!Afdrukbereik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2025-06-18T12:29:43Z</cp:lastPrinted>
  <dcterms:created xsi:type="dcterms:W3CDTF">2020-11-12T07:07:18Z</dcterms:created>
  <dcterms:modified xsi:type="dcterms:W3CDTF">2025-11-07T10:25:02Z</dcterms:modified>
</cp:coreProperties>
</file>